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реестр контрактов за 2021\"/>
    </mc:Choice>
  </mc:AlternateContent>
  <workbookProtection workbookPassword="EB34" lockStructure="1"/>
  <bookViews>
    <workbookView xWindow="0" yWindow="0" windowWidth="20490" windowHeight="7350" tabRatio="603" activeTab="2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62913"/>
</workbook>
</file>

<file path=xl/calcChain.xml><?xml version="1.0" encoding="utf-8"?>
<calcChain xmlns="http://schemas.openxmlformats.org/spreadsheetml/2006/main">
  <c r="H2" i="27" l="1"/>
  <c r="P2" i="27"/>
  <c r="V2" i="27"/>
  <c r="H2" i="31"/>
  <c r="P2" i="31"/>
  <c r="V2" i="31"/>
  <c r="I160" i="31"/>
  <c r="I109" i="27"/>
  <c r="G2" i="17"/>
  <c r="Q2" i="17"/>
  <c r="V2" i="17"/>
  <c r="AB2" i="17"/>
  <c r="G2" i="19"/>
  <c r="N2" i="19"/>
  <c r="T2" i="19"/>
  <c r="H9" i="17"/>
  <c r="R9" i="17"/>
  <c r="I159" i="31"/>
  <c r="I158" i="31"/>
  <c r="I157" i="31"/>
  <c r="I156" i="31"/>
  <c r="I155" i="31"/>
  <c r="I21" i="31"/>
  <c r="H9" i="19"/>
  <c r="I152" i="31"/>
  <c r="I16" i="27"/>
  <c r="I119" i="27"/>
  <c r="I117" i="27"/>
  <c r="I71" i="27"/>
  <c r="I126" i="27"/>
  <c r="I105" i="31"/>
  <c r="I95" i="31"/>
  <c r="I143" i="31"/>
  <c r="I53" i="27"/>
  <c r="I43" i="27"/>
  <c r="I57" i="31"/>
  <c r="I31" i="31"/>
  <c r="I144" i="27"/>
  <c r="I143" i="27"/>
  <c r="I75" i="31" l="1"/>
  <c r="R8" i="20" l="1"/>
  <c r="H8" i="20"/>
  <c r="AB2" i="20"/>
  <c r="V2" i="20"/>
  <c r="Q2" i="20"/>
  <c r="G2" i="20"/>
  <c r="R8" i="22"/>
  <c r="H8" i="22"/>
  <c r="AB2" i="22"/>
  <c r="V2" i="22"/>
  <c r="Q2" i="22"/>
  <c r="G2" i="22"/>
  <c r="R8" i="17"/>
  <c r="H8" i="17"/>
  <c r="I149" i="31"/>
  <c r="I148" i="31"/>
  <c r="I147" i="31"/>
  <c r="I142" i="31"/>
  <c r="I141" i="31"/>
  <c r="I140" i="31"/>
  <c r="I137" i="31"/>
  <c r="I134" i="31"/>
  <c r="I118" i="31"/>
  <c r="I115" i="31"/>
  <c r="I90" i="31"/>
  <c r="I88" i="31"/>
  <c r="I78" i="31"/>
  <c r="I67" i="31"/>
  <c r="I15" i="31"/>
  <c r="I9" i="31"/>
  <c r="I142" i="27"/>
  <c r="I141" i="27"/>
  <c r="I140" i="27"/>
  <c r="I139" i="27"/>
  <c r="I137" i="27"/>
  <c r="I136" i="27"/>
  <c r="I135" i="27"/>
  <c r="I125" i="27"/>
  <c r="I124" i="27"/>
  <c r="I123" i="27"/>
  <c r="I122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2" i="27"/>
  <c r="I81" i="27"/>
  <c r="I80" i="27"/>
  <c r="I79" i="27"/>
  <c r="I78" i="27"/>
  <c r="I70" i="27"/>
  <c r="I69" i="27"/>
  <c r="I68" i="27"/>
  <c r="I67" i="27"/>
  <c r="I66" i="27"/>
  <c r="I65" i="27"/>
  <c r="I64" i="27"/>
  <c r="I28" i="27"/>
  <c r="I27" i="27"/>
  <c r="I26" i="27"/>
  <c r="I12" i="27"/>
  <c r="I9" i="27"/>
  <c r="I8" i="27"/>
  <c r="D19" i="21"/>
  <c r="J14" i="21"/>
  <c r="D14" i="21"/>
  <c r="G14" i="21" s="1"/>
  <c r="M14" i="21" s="1"/>
  <c r="J13" i="21"/>
  <c r="D13" i="21"/>
  <c r="J12" i="21"/>
  <c r="D12" i="21"/>
  <c r="M11" i="21"/>
  <c r="J11" i="21"/>
  <c r="G11" i="21"/>
  <c r="D11" i="21"/>
  <c r="M10" i="21"/>
  <c r="J10" i="21"/>
  <c r="G10" i="21"/>
  <c r="D10" i="21"/>
  <c r="J9" i="21"/>
  <c r="G9" i="21"/>
  <c r="D9" i="21"/>
  <c r="M9" i="21" s="1"/>
  <c r="G13" i="21" l="1"/>
  <c r="M5" i="21" s="1"/>
  <c r="D15" i="21"/>
  <c r="J15" i="21"/>
  <c r="G12" i="21"/>
  <c r="H5" i="21" s="1"/>
  <c r="M13" i="21" l="1"/>
  <c r="M12" i="21"/>
  <c r="G15" i="21"/>
  <c r="M15" i="21" s="1"/>
  <c r="C5" i="21" l="1"/>
</calcChain>
</file>

<file path=xl/sharedStrings.xml><?xml version="1.0" encoding="utf-8"?>
<sst xmlns="http://schemas.openxmlformats.org/spreadsheetml/2006/main" count="1274" uniqueCount="432">
  <si>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</si>
  <si>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</si>
  <si>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</si>
  <si>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</si>
  <si>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</si>
  <si>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</si>
  <si>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</si>
  <si>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</si>
  <si>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</si>
  <si>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</si>
  <si>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</si>
  <si>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</si>
  <si>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</si>
  <si>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</si>
  <si>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</si>
  <si>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</si>
  <si>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</si>
  <si>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</si>
  <si>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</si>
  <si>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</si>
  <si>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</si>
  <si>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</si>
  <si>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</si>
  <si>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</si>
  <si>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</si>
  <si>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</si>
  <si>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</si>
  <si>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</si>
  <si>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</si>
  <si>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</si>
  <si>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</si>
  <si>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</si>
  <si>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</si>
  <si>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</si>
  <si>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</si>
  <si>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</si>
  <si>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</si>
  <si>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</si>
  <si>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</si>
  <si>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</si>
  <si>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</si>
  <si>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</si>
  <si>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</si>
  <si>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</si>
  <si>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</si>
  <si>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</si>
  <si>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</si>
  <si>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</si>
  <si>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</si>
  <si>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</si>
  <si>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</si>
  <si>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</si>
  <si>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</si>
  <si>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</si>
  <si>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</si>
  <si>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</si>
  <si>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</si>
  <si>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</si>
  <si>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</si>
  <si>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</si>
  <si>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</si>
  <si>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</si>
  <si>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</si>
  <si>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</si>
  <si>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</si>
  <si>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</si>
  <si>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</si>
  <si>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</si>
  <si>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</si>
  <si>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</si>
  <si>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</si>
  <si>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</si>
  <si>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</si>
  <si>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</si>
  <si>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</si>
  <si>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</si>
  <si>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</si>
  <si>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</si>
  <si>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</si>
  <si>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</si>
  <si>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</si>
  <si>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</si>
  <si>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</si>
  <si>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</si>
  <si>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</si>
  <si>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</si>
  <si>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</si>
  <si>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</si>
  <si>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</si>
  <si>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</si>
  <si>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</si>
  <si>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</si>
  <si>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</si>
  <si>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</si>
  <si>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</si>
  <si>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</si>
  <si>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</si>
  <si>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</si>
  <si>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</si>
  <si>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</si>
  <si>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</si>
  <si>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</si>
  <si>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</si>
  <si>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</si>
  <si>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</si>
  <si>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</si>
  <si>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</si>
  <si>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</si>
  <si>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</si>
  <si>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</si>
  <si>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</si>
  <si>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</si>
  <si>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</si>
  <si>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</si>
  <si>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</si>
  <si>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</si>
  <si>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</si>
  <si>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</si>
  <si>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</si>
  <si>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</si>
  <si>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</si>
  <si>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</si>
  <si>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</si>
  <si>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</si>
  <si>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</si>
  <si>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</si>
  <si>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</si>
  <si>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</si>
  <si>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</si>
  <si>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</si>
  <si>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</si>
  <si>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</si>
  <si>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</si>
  <si>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</si>
  <si>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</si>
  <si>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</si>
  <si>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</si>
  <si>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</si>
  <si>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</si>
  <si>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</si>
  <si>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</si>
  <si>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</si>
  <si>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</si>
  <si>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</si>
  <si>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</si>
  <si>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</si>
  <si>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нет</t>
  </si>
  <si>
    <t>925 0000 0000000000 244</t>
  </si>
  <si>
    <t>№ 209-ПЦО</t>
  </si>
  <si>
    <t>№ 6</t>
  </si>
  <si>
    <t>Оказание охранных услуг</t>
  </si>
  <si>
    <t>ООО ЧОА "Альфа ПЛЮС"</t>
  </si>
  <si>
    <t>круглосуточно</t>
  </si>
  <si>
    <t>Оказание охранных услуг (ктс)</t>
  </si>
  <si>
    <t>№ 67</t>
  </si>
  <si>
    <t>Оказание услуг по обращению с твердыми коммунальными отходами</t>
  </si>
  <si>
    <t>ООО "Чистый город"</t>
  </si>
  <si>
    <t>№ 23070500203</t>
  </si>
  <si>
    <t>ПАО "ТНС энерго Кубань"</t>
  </si>
  <si>
    <t>ООО "Коммунальник"</t>
  </si>
  <si>
    <t xml:space="preserve">925 0000 0000000000 244 </t>
  </si>
  <si>
    <t>№6</t>
  </si>
  <si>
    <t>ООО ЧОА "Альфа-юг Сервис"</t>
  </si>
  <si>
    <t>по заявке Потребителя</t>
  </si>
  <si>
    <t>Не позднее 10 календарных дней с момента подписания Заказчиком и Подрядчиком акта приема-сдачи и предоставленного Подрядчиком документа на оплату</t>
  </si>
  <si>
    <t>30 % - до 10 числа, 40 % - до 25 числа</t>
  </si>
  <si>
    <t>Водоснабжение</t>
  </si>
  <si>
    <t>до 25 числа</t>
  </si>
  <si>
    <t>1401</t>
  </si>
  <si>
    <t>Поставка тепловой энергии</t>
  </si>
  <si>
    <t>АО "АТЭК"</t>
  </si>
  <si>
    <t>Согласно графика</t>
  </si>
  <si>
    <t>Услуги по организации горячего питания обучающихся по образовательным программам начального общего образования</t>
  </si>
  <si>
    <t>ООО "Тимашевское ПРТ Райпо"</t>
  </si>
  <si>
    <t>№ ДГ-21/21</t>
  </si>
  <si>
    <t>Услуги по техническому сопровождению системы мониторинга транспортных средств</t>
  </si>
  <si>
    <t>ООО "КАНкорт"</t>
  </si>
  <si>
    <t>круглосуточно с 01.01.2021 по 31.12.2021</t>
  </si>
  <si>
    <t>№ 6-21</t>
  </si>
  <si>
    <t>Дератизационные работы</t>
  </si>
  <si>
    <t>2353018870</t>
  </si>
  <si>
    <t>ООО "Дезинфекция"</t>
  </si>
  <si>
    <t>по мере необходимости</t>
  </si>
  <si>
    <t>№ 10</t>
  </si>
  <si>
    <t>Работы по сервисному обслуживанию УУТЭ</t>
  </si>
  <si>
    <t>235301271520</t>
  </si>
  <si>
    <t>ИП Дудкин</t>
  </si>
  <si>
    <t>согласно приложения 1</t>
  </si>
  <si>
    <t>6/3</t>
  </si>
  <si>
    <t>Услуги по организации питания учащихся</t>
  </si>
  <si>
    <t>с 11.01.2021 по 25.05.2021</t>
  </si>
  <si>
    <t>925 0000 00000000000 244</t>
  </si>
  <si>
    <t>6/1</t>
  </si>
  <si>
    <t xml:space="preserve">Организация горячего питания обучающихся с ограниченными возможностями здоровья </t>
  </si>
  <si>
    <t>№ 6/2</t>
  </si>
  <si>
    <t>№ 8/21</t>
  </si>
  <si>
    <t>Выполнение работ (оказание услуг) по предоставлению охраняемой автостоянки, предрейсовому и послерейсовому то автотранспорта и и медицинскому водителейосвидетельствованию</t>
  </si>
  <si>
    <t>235305769122</t>
  </si>
  <si>
    <t>ИП Барма</t>
  </si>
  <si>
    <t>с 01.01.2021 по 31.12.2021</t>
  </si>
  <si>
    <t>№ 166</t>
  </si>
  <si>
    <t>Оказание услуг электросвязи юридическому лицу</t>
  </si>
  <si>
    <t>ПАО "Ростелеком"</t>
  </si>
  <si>
    <t>Услуги электросвязи</t>
  </si>
  <si>
    <t>№ 166-Б2</t>
  </si>
  <si>
    <t>№ 6/5-ТК</t>
  </si>
  <si>
    <t>Договор поставки нефтепродуктов</t>
  </si>
  <si>
    <t>ООО "Альянс Розница"</t>
  </si>
  <si>
    <t>С 01.01.2021 по 31.03.2021</t>
  </si>
  <si>
    <t>№ 27</t>
  </si>
  <si>
    <t>Энергоаккумуляторы</t>
  </si>
  <si>
    <t>В течение 14 рабочих дней</t>
  </si>
  <si>
    <t>В течение 5 рабочих дней</t>
  </si>
  <si>
    <t>АО "ПФ "СКБ Контур"</t>
  </si>
  <si>
    <t>6663003127</t>
  </si>
  <si>
    <t>Неисключительное право</t>
  </si>
  <si>
    <t>№ 49760026/21</t>
  </si>
  <si>
    <t>Поставка товара для бюджетных нужд (молоко)</t>
  </si>
  <si>
    <t>2334022342</t>
  </si>
  <si>
    <t>ООО фирма "Калория"</t>
  </si>
  <si>
    <t>Четверг</t>
  </si>
  <si>
    <t>Ежемесячно с 01.01.2021 по 31.12.2021</t>
  </si>
  <si>
    <t>ООО "Сигнал"</t>
  </si>
  <si>
    <t>2353002302</t>
  </si>
  <si>
    <t>ТО автоматических установок пожарной сигнализации</t>
  </si>
  <si>
    <t>№ 33</t>
  </si>
  <si>
    <t>№ 39-С</t>
  </si>
  <si>
    <t>ТО установки системы пожарного мониторинга "Стрелец-мониторинг"</t>
  </si>
  <si>
    <t>согласно графика</t>
  </si>
  <si>
    <t>№ 75</t>
  </si>
  <si>
    <t>№95-ЭО</t>
  </si>
  <si>
    <t>ИП Казерова</t>
  </si>
  <si>
    <t>235306110100</t>
  </si>
  <si>
    <t>товар</t>
  </si>
  <si>
    <t>Оказание консультационных услуг</t>
  </si>
  <si>
    <t>В течение 3 дней после оплаты</t>
  </si>
  <si>
    <t>№ 124</t>
  </si>
  <si>
    <t>№ 136</t>
  </si>
  <si>
    <t>автошина</t>
  </si>
  <si>
    <t>МБОУ СОШ №6</t>
  </si>
  <si>
    <t>Ремонт принтера</t>
  </si>
  <si>
    <t>235300809163</t>
  </si>
  <si>
    <t>ИП Коваленко</t>
  </si>
  <si>
    <t>925 0000 000000000 244</t>
  </si>
  <si>
    <t>№ 198</t>
  </si>
  <si>
    <t>№ 199</t>
  </si>
  <si>
    <t>Заправка картриджа</t>
  </si>
  <si>
    <t>ИП Чуприков</t>
  </si>
  <si>
    <t>235306030599</t>
  </si>
  <si>
    <t>Бумага</t>
  </si>
  <si>
    <t>№ 027</t>
  </si>
  <si>
    <t>интернет</t>
  </si>
  <si>
    <t>7707049388</t>
  </si>
  <si>
    <t>подписка</t>
  </si>
  <si>
    <t>7724490000</t>
  </si>
  <si>
    <t>АО "Почта России"</t>
  </si>
  <si>
    <t>по графику</t>
  </si>
  <si>
    <t>обучение</t>
  </si>
  <si>
    <t>2327014502</t>
  </si>
  <si>
    <t>ООО "БОЦ"</t>
  </si>
  <si>
    <t>с 18.01.2021 по 03.03.2021</t>
  </si>
  <si>
    <t>дезинфекция</t>
  </si>
  <si>
    <t>с 16.04.2021 по 02.08.2021</t>
  </si>
  <si>
    <t>учебники</t>
  </si>
  <si>
    <t>2310047193</t>
  </si>
  <si>
    <t>ООО "ОИЦП "Перспективы образования"</t>
  </si>
  <si>
    <t>до 06.08.2021</t>
  </si>
  <si>
    <t>7715995942</t>
  </si>
  <si>
    <t>АО "Издательство "Просвещение"</t>
  </si>
  <si>
    <t>аттестаты</t>
  </si>
  <si>
    <t>7706526550</t>
  </si>
  <si>
    <t>ООО "СпецБланк-Москва"</t>
  </si>
  <si>
    <t>в течение 40 дней после получения поставщиком подписанного контракта</t>
  </si>
  <si>
    <t>на оказание услуг по организации горячего питания обучающихся по образовательным программам начального общего образования</t>
  </si>
  <si>
    <t>ООО "ПРТ "райпо"</t>
  </si>
  <si>
    <t>23-7346</t>
  </si>
  <si>
    <t>166-1</t>
  </si>
  <si>
    <t>3356/212</t>
  </si>
  <si>
    <t>да</t>
  </si>
  <si>
    <t>Бензин</t>
  </si>
  <si>
    <t>ООО "РН-Карт"</t>
  </si>
  <si>
    <t>АТОО-01709</t>
  </si>
  <si>
    <t>СКЗИ</t>
  </si>
  <si>
    <t>2311187588</t>
  </si>
  <si>
    <t>ООО "АйТи Мониторинг"</t>
  </si>
  <si>
    <t>в течение 45 рабочих дней после оплаты</t>
  </si>
  <si>
    <t>запчасти на косилку</t>
  </si>
  <si>
    <t>235301943813</t>
  </si>
  <si>
    <t>Ип Отиско</t>
  </si>
  <si>
    <t>бумага</t>
  </si>
  <si>
    <t>ремкомплект рулевого пальца</t>
  </si>
  <si>
    <t>235306709863</t>
  </si>
  <si>
    <t>ИП Бойкова</t>
  </si>
  <si>
    <t>с 11.01.2021 по 26.02.2021</t>
  </si>
  <si>
    <t>с 11.01.2021 по 24.05.2021</t>
  </si>
  <si>
    <t>с 01.03.2021 по 24.05.2021</t>
  </si>
  <si>
    <t>б/н</t>
  </si>
  <si>
    <t xml:space="preserve">запчасти </t>
  </si>
  <si>
    <t>дезсредства</t>
  </si>
  <si>
    <t>2312068671</t>
  </si>
  <si>
    <t>ООО "Сервис-ЮГ-ККМ"</t>
  </si>
  <si>
    <t>925 0000 0000000 244</t>
  </si>
  <si>
    <t>898</t>
  </si>
  <si>
    <t>аттестация рабочих мест</t>
  </si>
  <si>
    <t>ООО "Карьера"</t>
  </si>
  <si>
    <t>60 рабочих дней со дня подписания договора</t>
  </si>
  <si>
    <t>питание лагерь</t>
  </si>
  <si>
    <t>с 28.06.2021 по 17.07.2021</t>
  </si>
  <si>
    <t>Текущий ремонт пищеблока</t>
  </si>
  <si>
    <t>236903124997</t>
  </si>
  <si>
    <t>ИП Сайдумов</t>
  </si>
  <si>
    <t>SYUT-18078</t>
  </si>
  <si>
    <t>ларь морозильный</t>
  </si>
  <si>
    <t>в течение 15 дней с момента оплаты</t>
  </si>
  <si>
    <t>план эвакуации</t>
  </si>
  <si>
    <t>235303841817</t>
  </si>
  <si>
    <t>ИП Черненко</t>
  </si>
  <si>
    <t>в течение 10 дней с момента оплаты</t>
  </si>
  <si>
    <t>925 0000 00000000 244</t>
  </si>
  <si>
    <t>55</t>
  </si>
  <si>
    <t>охрана</t>
  </si>
  <si>
    <t>ООО ЧОО "Легион"</t>
  </si>
  <si>
    <t>с 01.07.2021 по 31.12.2021</t>
  </si>
  <si>
    <t>187</t>
  </si>
  <si>
    <t>ремонт МФУ</t>
  </si>
  <si>
    <t>ИП Нидялков</t>
  </si>
  <si>
    <t>72</t>
  </si>
  <si>
    <t>видеорегистратор, жесткий диск</t>
  </si>
  <si>
    <t>ИП Карлов</t>
  </si>
  <si>
    <t>В течение 5 дней после подписания договора</t>
  </si>
  <si>
    <t>краска</t>
  </si>
  <si>
    <t>ИП Отиско</t>
  </si>
  <si>
    <t>45</t>
  </si>
  <si>
    <t>бензин</t>
  </si>
  <si>
    <t>ктс</t>
  </si>
  <si>
    <t>ООО ЧОП Анаконда</t>
  </si>
  <si>
    <t>июль 2021</t>
  </si>
  <si>
    <t>24/2021</t>
  </si>
  <si>
    <t>монтаж ктс</t>
  </si>
  <si>
    <t>232700864879</t>
  </si>
  <si>
    <t>ИП Ус</t>
  </si>
  <si>
    <t>в течение 30 рабочих дней</t>
  </si>
  <si>
    <t>заправка картриджа</t>
  </si>
  <si>
    <t>краска, товар</t>
  </si>
  <si>
    <t>235305536400</t>
  </si>
  <si>
    <t>ИП Быстров</t>
  </si>
  <si>
    <t>крестовина</t>
  </si>
  <si>
    <t>235304202316</t>
  </si>
  <si>
    <t>самоспасатель "Феникс"</t>
  </si>
  <si>
    <t>экскурсионные услуги</t>
  </si>
  <si>
    <t>2353016418</t>
  </si>
  <si>
    <t>Местная религиозная организация</t>
  </si>
  <si>
    <t>11.08.2021</t>
  </si>
  <si>
    <t>03.08.2021</t>
  </si>
  <si>
    <t>перезарядка огнетушителя</t>
  </si>
  <si>
    <t>В течение 5 рабочих дней после подписания договора</t>
  </si>
  <si>
    <t>экскурсионное обслуживание</t>
  </si>
  <si>
    <t>2315104991</t>
  </si>
  <si>
    <t>ГБУК КК "Новороссийский исторический музей-заповедник"</t>
  </si>
  <si>
    <t>с 01.07.2021 по 30.09.2021</t>
  </si>
  <si>
    <t>Страхование гражданской ответственности транспортных средств</t>
  </si>
  <si>
    <t>7710026574</t>
  </si>
  <si>
    <t>САО "ВСК"</t>
  </si>
  <si>
    <t>В течение 14 рабочих дней после оплаты</t>
  </si>
  <si>
    <t>масло, шины</t>
  </si>
  <si>
    <t>с 19.07.2021 по 31.08.2021</t>
  </si>
  <si>
    <t>ФПК-72/4703</t>
  </si>
  <si>
    <t>курсы</t>
  </si>
  <si>
    <t>2310018516</t>
  </si>
  <si>
    <t>ФГБОУ ВО КГУФКСТ</t>
  </si>
  <si>
    <t>за услуги по организации горячего питания (стоимость питания)</t>
  </si>
  <si>
    <t>2353020735</t>
  </si>
  <si>
    <t>карта водителя</t>
  </si>
  <si>
    <t>2369000660</t>
  </si>
  <si>
    <t>за услуги по организации горячего питания (услуга)</t>
  </si>
  <si>
    <t>НЕТ</t>
  </si>
  <si>
    <t>за услуги по приготовлению горячего питания ОВЗ</t>
  </si>
  <si>
    <t>питание 6-10 р</t>
  </si>
  <si>
    <t>351-ТО</t>
  </si>
  <si>
    <t>то автобуса</t>
  </si>
  <si>
    <t>баннер</t>
  </si>
  <si>
    <t>235303800426</t>
  </si>
  <si>
    <t>ИП Шашанков</t>
  </si>
  <si>
    <t>смеситель</t>
  </si>
  <si>
    <t>018-ПН-21</t>
  </si>
  <si>
    <t>испытание электроустановок</t>
  </si>
  <si>
    <t>2353015823</t>
  </si>
  <si>
    <t>АО "Энергетик"</t>
  </si>
  <si>
    <t>в течение 30 дней со дня подписания контракта</t>
  </si>
  <si>
    <t>23.08.2021-04.09.2021</t>
  </si>
  <si>
    <t>молоко</t>
  </si>
  <si>
    <t>четверг</t>
  </si>
  <si>
    <t>34000717</t>
  </si>
  <si>
    <t>ктс охрана</t>
  </si>
  <si>
    <t>ФГКУ УВО ВНГ России по Краснодарскому краю</t>
  </si>
  <si>
    <t>с 01.08.2021 по 31.12.2021</t>
  </si>
  <si>
    <t>сентябрь</t>
  </si>
  <si>
    <t>август</t>
  </si>
  <si>
    <t>бн</t>
  </si>
  <si>
    <t>поверка</t>
  </si>
  <si>
    <t>изготовление проектно-сметной документации</t>
  </si>
  <si>
    <t>15 рабочих дней после подписания договор</t>
  </si>
  <si>
    <t>краска, хозтовар</t>
  </si>
  <si>
    <t>СП-Т-74/21</t>
  </si>
  <si>
    <t>2311163812</t>
  </si>
  <si>
    <t>ООО "АСМ-Партнер"</t>
  </si>
  <si>
    <t>запчасти</t>
  </si>
  <si>
    <t>опрессовка</t>
  </si>
  <si>
    <t>7702070139</t>
  </si>
  <si>
    <t>3702/212</t>
  </si>
  <si>
    <t>198/21</t>
  </si>
  <si>
    <t>ГБУЗ Тимашевская ЦРБ"</t>
  </si>
  <si>
    <t>16.11-17.11.2021</t>
  </si>
  <si>
    <t>198-1/21</t>
  </si>
  <si>
    <t>418-ТО</t>
  </si>
  <si>
    <t>литература</t>
  </si>
  <si>
    <t>235300632766</t>
  </si>
  <si>
    <t>ИП Легина</t>
  </si>
  <si>
    <t>в течение 5 дней после оплаты</t>
  </si>
  <si>
    <t>радиатор, патрубки</t>
  </si>
  <si>
    <t>в течение 14 дней после оплаты</t>
  </si>
  <si>
    <t>октябрь</t>
  </si>
  <si>
    <t>60</t>
  </si>
  <si>
    <t>01.10.2021-31.12.2021</t>
  </si>
  <si>
    <t>медосмотр</t>
  </si>
  <si>
    <t>16.11-17.11.2022</t>
  </si>
  <si>
    <t>434</t>
  </si>
  <si>
    <t>16.11.2021</t>
  </si>
  <si>
    <t>385</t>
  </si>
  <si>
    <t>до 20.12.2021</t>
  </si>
  <si>
    <t>в течение 15 дней</t>
  </si>
  <si>
    <t>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</si>
</sst>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  <numFmt numFmtId="170" formatCode="dd/mm/yyyy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80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7" fontId="1" fillId="0" borderId="0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49" fontId="1" fillId="18" borderId="14" xfId="0" applyNumberFormat="1" applyFont="1" applyFill="1" applyBorder="1" applyAlignment="1">
      <alignment horizontal="center" vertical="center" wrapText="1"/>
    </xf>
    <xf numFmtId="4" fontId="1" fillId="18" borderId="14" xfId="0" applyNumberFormat="1" applyFont="1" applyFill="1" applyBorder="1" applyAlignment="1">
      <alignment horizontal="center" vertical="center" wrapText="1"/>
    </xf>
    <xf numFmtId="49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14" xfId="0" applyFont="1" applyFill="1" applyBorder="1" applyAlignment="1" applyProtection="1">
      <alignment horizontal="center" vertical="center" wrapText="1"/>
      <protection locked="0"/>
    </xf>
    <xf numFmtId="14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14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0" xfId="0" applyNumberFormat="1" applyFont="1" applyFill="1" applyBorder="1" applyAlignment="1">
      <alignment horizontal="center" vertical="center" wrapText="1"/>
    </xf>
    <xf numFmtId="49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>
      <alignment horizontal="center" vertical="center" wrapText="1"/>
    </xf>
    <xf numFmtId="0" fontId="1" fillId="18" borderId="20" xfId="0" applyFont="1" applyFill="1" applyBorder="1" applyAlignment="1" applyProtection="1">
      <alignment horizontal="center" vertical="center" wrapText="1"/>
      <protection locked="0"/>
    </xf>
    <xf numFmtId="168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>
      <alignment horizontal="center" vertical="center" wrapText="1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168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4" xfId="0" applyFont="1" applyFill="1" applyBorder="1" applyAlignment="1" applyProtection="1">
      <alignment horizontal="center" vertical="center" wrapText="1"/>
      <protection locked="0"/>
    </xf>
    <xf numFmtId="49" fontId="1" fillId="18" borderId="44" xfId="0" applyNumberFormat="1" applyFont="1" applyFill="1" applyBorder="1" applyAlignment="1">
      <alignment horizontal="center" vertical="center" wrapText="1"/>
    </xf>
    <xf numFmtId="49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4" xfId="0" applyNumberFormat="1" applyFont="1" applyFill="1" applyBorder="1" applyAlignment="1">
      <alignment horizontal="center" vertical="center" wrapText="1"/>
    </xf>
    <xf numFmtId="165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18" borderId="4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7" xfId="0" applyNumberFormat="1" applyFont="1" applyFill="1" applyBorder="1" applyAlignment="1">
      <alignment horizontal="center" vertical="center" wrapText="1"/>
    </xf>
    <xf numFmtId="49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7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7" xfId="0" applyFont="1" applyFill="1" applyBorder="1" applyAlignment="1" applyProtection="1">
      <alignment horizontal="center" vertical="center" wrapText="1"/>
      <protection locked="0"/>
    </xf>
    <xf numFmtId="1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2" xfId="0" applyNumberFormat="1" applyFont="1" applyFill="1" applyBorder="1" applyAlignment="1">
      <alignment horizontal="center" vertical="center" wrapText="1"/>
    </xf>
    <xf numFmtId="0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>
      <alignment horizontal="center" vertical="center" wrapText="1"/>
    </xf>
    <xf numFmtId="168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4" xfId="0" applyFont="1" applyFill="1" applyBorder="1" applyAlignment="1" applyProtection="1">
      <alignment horizontal="center" vertical="center" wrapText="1"/>
      <protection locked="0"/>
    </xf>
    <xf numFmtId="49" fontId="1" fillId="18" borderId="55" xfId="0" applyNumberFormat="1" applyFont="1" applyFill="1" applyBorder="1" applyAlignment="1">
      <alignment horizontal="center" vertical="center" wrapText="1"/>
    </xf>
    <xf numFmtId="49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5" xfId="0" applyNumberFormat="1" applyFont="1" applyFill="1" applyBorder="1" applyAlignment="1">
      <alignment horizontal="center" vertical="center" wrapText="1"/>
    </xf>
    <xf numFmtId="14" fontId="1" fillId="18" borderId="1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6" xfId="0" applyNumberFormat="1" applyFont="1" applyFill="1" applyBorder="1" applyAlignment="1">
      <alignment horizontal="center" vertical="center" wrapText="1"/>
    </xf>
    <xf numFmtId="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6" xfId="0" applyFont="1" applyFill="1" applyBorder="1" applyAlignment="1" applyProtection="1">
      <alignment horizontal="center" vertical="center" wrapText="1"/>
      <protection locked="0"/>
    </xf>
    <xf numFmtId="165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18" borderId="57" xfId="0" applyNumberFormat="1" applyFont="1" applyFill="1" applyBorder="1" applyAlignment="1">
      <alignment horizontal="center" vertical="center" wrapText="1"/>
    </xf>
    <xf numFmtId="49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>
      <alignment horizontal="center" vertical="center" wrapText="1"/>
    </xf>
    <xf numFmtId="0" fontId="1" fillId="18" borderId="57" xfId="0" applyFont="1" applyFill="1" applyBorder="1" applyAlignment="1" applyProtection="1">
      <alignment horizontal="center" vertical="center" wrapText="1"/>
      <protection locked="0"/>
    </xf>
    <xf numFmtId="168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18" borderId="58" xfId="0" applyNumberFormat="1" applyFont="1" applyFill="1" applyBorder="1" applyAlignment="1">
      <alignment horizontal="center" vertical="center" wrapText="1"/>
    </xf>
    <xf numFmtId="49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8" xfId="0" applyNumberFormat="1" applyFont="1" applyFill="1" applyBorder="1" applyAlignment="1">
      <alignment horizontal="center" vertical="center" wrapText="1"/>
    </xf>
    <xf numFmtId="165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8" xfId="0" applyFont="1" applyFill="1" applyBorder="1" applyAlignment="1" applyProtection="1">
      <alignment horizontal="center" vertical="center" wrapText="1"/>
      <protection locked="0"/>
    </xf>
    <xf numFmtId="1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9" xfId="0" applyNumberFormat="1" applyFont="1" applyFill="1" applyBorder="1" applyAlignment="1">
      <alignment horizontal="center" vertical="center" wrapText="1"/>
    </xf>
    <xf numFmtId="49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9" xfId="0" applyNumberFormat="1" applyFont="1" applyFill="1" applyBorder="1" applyAlignment="1">
      <alignment horizontal="center" vertical="center" wrapText="1"/>
    </xf>
    <xf numFmtId="165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9" xfId="0" applyFont="1" applyFill="1" applyBorder="1" applyAlignment="1" applyProtection="1">
      <alignment horizontal="center" vertical="center" wrapText="1"/>
      <protection locked="0"/>
    </xf>
    <xf numFmtId="0" fontId="1" fillId="18" borderId="60" xfId="0" applyFont="1" applyFill="1" applyBorder="1" applyAlignment="1" applyProtection="1">
      <alignment horizontal="center" vertical="center" wrapText="1"/>
      <protection locked="0"/>
    </xf>
    <xf numFmtId="1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18" borderId="61" xfId="0" applyNumberFormat="1" applyFont="1" applyFill="1" applyBorder="1" applyAlignment="1">
      <alignment horizontal="center" vertical="center" wrapText="1"/>
    </xf>
    <xf numFmtId="49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1" xfId="0" applyNumberFormat="1" applyFont="1" applyFill="1" applyBorder="1" applyAlignment="1">
      <alignment horizontal="center" vertical="center" wrapText="1"/>
    </xf>
    <xf numFmtId="165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1" xfId="0" applyFont="1" applyFill="1" applyBorder="1" applyAlignment="1" applyProtection="1">
      <alignment horizontal="center" vertical="center" wrapText="1"/>
      <protection locked="0"/>
    </xf>
    <xf numFmtId="14" fontId="1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0" xfId="0" applyNumberFormat="1" applyFont="1" applyFill="1" applyBorder="1" applyAlignment="1">
      <alignment horizontal="center" vertical="center" wrapText="1"/>
    </xf>
    <xf numFmtId="49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0" xfId="0" applyNumberFormat="1" applyFont="1" applyFill="1" applyBorder="1" applyAlignment="1">
      <alignment horizontal="center" vertical="center" wrapText="1"/>
    </xf>
    <xf numFmtId="14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9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7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0" xfId="0" applyNumberFormat="1" applyFont="1" applyFill="1" applyBorder="1" applyAlignment="1">
      <alignment horizontal="center" vertical="center" wrapText="1"/>
    </xf>
    <xf numFmtId="49" fontId="1" fillId="18" borderId="70" xfId="0" applyNumberFormat="1" applyFont="1" applyFill="1" applyBorder="1" applyAlignment="1">
      <alignment horizontal="center" vertical="center" wrapText="1"/>
    </xf>
    <xf numFmtId="165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168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0" xfId="0" applyFont="1" applyFill="1" applyBorder="1" applyAlignment="1" applyProtection="1">
      <alignment horizontal="center" vertical="center" wrapText="1"/>
      <protection locked="0"/>
    </xf>
    <xf numFmtId="167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49" fontId="1" fillId="18" borderId="68" xfId="0" applyNumberFormat="1" applyFont="1" applyFill="1" applyBorder="1" applyAlignment="1">
      <alignment horizontal="center" vertical="center" wrapText="1"/>
    </xf>
    <xf numFmtId="49" fontId="1" fillId="18" borderId="69" xfId="0" applyNumberFormat="1" applyFont="1" applyFill="1" applyBorder="1" applyAlignment="1">
      <alignment horizontal="center" vertical="center" wrapText="1"/>
    </xf>
    <xf numFmtId="49" fontId="1" fillId="18" borderId="70" xfId="0" applyNumberFormat="1" applyFont="1" applyFill="1" applyBorder="1" applyAlignment="1">
      <alignment horizontal="center" vertical="center" wrapText="1"/>
    </xf>
    <xf numFmtId="14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8" xfId="0" applyFont="1" applyFill="1" applyBorder="1" applyAlignment="1" applyProtection="1">
      <alignment horizontal="center" vertical="center" wrapText="1"/>
      <protection locked="0"/>
    </xf>
    <xf numFmtId="0" fontId="1" fillId="18" borderId="69" xfId="0" applyFont="1" applyFill="1" applyBorder="1" applyAlignment="1" applyProtection="1">
      <alignment horizontal="center" vertical="center" wrapText="1"/>
      <protection locked="0"/>
    </xf>
    <xf numFmtId="0" fontId="1" fillId="18" borderId="70" xfId="0" applyFont="1" applyFill="1" applyBorder="1" applyAlignment="1" applyProtection="1">
      <alignment horizontal="center" vertical="center" wrapText="1"/>
      <protection locked="0"/>
    </xf>
    <xf numFmtId="4" fontId="1" fillId="18" borderId="68" xfId="0" applyNumberFormat="1" applyFont="1" applyFill="1" applyBorder="1" applyAlignment="1">
      <alignment horizontal="center" vertical="center" wrapText="1"/>
    </xf>
    <xf numFmtId="4" fontId="1" fillId="18" borderId="69" xfId="0" applyNumberFormat="1" applyFont="1" applyFill="1" applyBorder="1" applyAlignment="1">
      <alignment horizontal="center" vertical="center" wrapText="1"/>
    </xf>
    <xf numFmtId="4" fontId="1" fillId="18" borderId="70" xfId="0" applyNumberFormat="1" applyFont="1" applyFill="1" applyBorder="1" applyAlignment="1">
      <alignment horizontal="center" vertical="center" wrapText="1"/>
    </xf>
    <xf numFmtId="14" fontId="1" fillId="4" borderId="68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69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6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5" xfId="0" applyNumberFormat="1" applyFont="1" applyFill="1" applyBorder="1" applyAlignment="1">
      <alignment horizontal="center" vertical="center" wrapText="1"/>
    </xf>
    <xf numFmtId="49" fontId="1" fillId="18" borderId="63" xfId="0" applyNumberFormat="1" applyFont="1" applyFill="1" applyBorder="1" applyAlignment="1">
      <alignment horizontal="center" vertical="center" wrapText="1"/>
    </xf>
    <xf numFmtId="1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7" xfId="0" applyFont="1" applyFill="1" applyBorder="1" applyAlignment="1" applyProtection="1">
      <alignment horizontal="center" vertical="center" wrapText="1"/>
      <protection locked="0"/>
    </xf>
    <xf numFmtId="0" fontId="1" fillId="18" borderId="64" xfId="0" applyFont="1" applyFill="1" applyBorder="1" applyAlignment="1" applyProtection="1">
      <alignment horizontal="center" vertical="center" wrapText="1"/>
      <protection locked="0"/>
    </xf>
    <xf numFmtId="0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6" xfId="0" applyNumberFormat="1" applyFont="1" applyFill="1" applyBorder="1" applyAlignment="1">
      <alignment horizontal="center" vertical="center" wrapText="1"/>
    </xf>
    <xf numFmtId="4" fontId="1" fillId="18" borderId="62" xfId="0" applyNumberFormat="1" applyFont="1" applyFill="1" applyBorder="1" applyAlignment="1">
      <alignment horizontal="center" vertical="center" wrapText="1"/>
    </xf>
    <xf numFmtId="168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5" xfId="0" applyFont="1" applyFill="1" applyBorder="1" applyAlignment="1" applyProtection="1">
      <alignment horizontal="center" vertical="center" wrapText="1"/>
      <protection locked="0"/>
    </xf>
    <xf numFmtId="0" fontId="1" fillId="18" borderId="46" xfId="0" applyFont="1" applyFill="1" applyBorder="1" applyAlignment="1" applyProtection="1">
      <alignment horizontal="center" vertical="center" wrapText="1"/>
      <protection locked="0"/>
    </xf>
    <xf numFmtId="0" fontId="1" fillId="18" borderId="47" xfId="0" applyFont="1" applyFill="1" applyBorder="1" applyAlignment="1" applyProtection="1">
      <alignment horizontal="center" vertical="center" wrapText="1"/>
      <protection locked="0"/>
    </xf>
    <xf numFmtId="4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>
      <alignment horizontal="center" vertical="center" wrapText="1"/>
    </xf>
    <xf numFmtId="4" fontId="1" fillId="18" borderId="46" xfId="0" applyNumberFormat="1" applyFont="1" applyFill="1" applyBorder="1" applyAlignment="1">
      <alignment horizontal="center" vertical="center" wrapText="1"/>
    </xf>
    <xf numFmtId="4" fontId="1" fillId="18" borderId="47" xfId="0" applyNumberFormat="1" applyFont="1" applyFill="1" applyBorder="1" applyAlignment="1">
      <alignment horizontal="center" vertical="center" wrapText="1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0" fontId="1" fillId="18" borderId="34" xfId="0" applyFont="1" applyFill="1" applyBorder="1" applyAlignment="1" applyProtection="1">
      <alignment horizontal="center" vertical="center" wrapText="1"/>
      <protection locked="0"/>
    </xf>
    <xf numFmtId="0" fontId="1" fillId="18" borderId="35" xfId="0" applyFont="1" applyFill="1" applyBorder="1" applyAlignment="1" applyProtection="1">
      <alignment horizontal="center" vertical="center" wrapText="1"/>
      <protection locked="0"/>
    </xf>
    <xf numFmtId="168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>
      <alignment horizontal="center" vertical="center" wrapText="1"/>
    </xf>
    <xf numFmtId="4" fontId="1" fillId="18" borderId="34" xfId="0" applyNumberFormat="1" applyFont="1" applyFill="1" applyBorder="1" applyAlignment="1">
      <alignment horizontal="center" vertical="center" wrapText="1"/>
    </xf>
    <xf numFmtId="4" fontId="1" fillId="18" borderId="3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18" borderId="33" xfId="0" applyNumberFormat="1" applyFont="1" applyFill="1" applyBorder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49" fontId="1" fillId="18" borderId="35" xfId="0" applyNumberFormat="1" applyFont="1" applyFill="1" applyBorder="1" applyAlignment="1">
      <alignment horizontal="center" vertical="center" wrapText="1"/>
    </xf>
    <xf numFmtId="14" fontId="1" fillId="4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8" xfId="0" applyFont="1" applyFill="1" applyBorder="1" applyAlignment="1" applyProtection="1">
      <alignment horizontal="center" vertical="center" wrapText="1"/>
      <protection locked="0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49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8" xfId="0" applyNumberFormat="1" applyFont="1" applyFill="1" applyBorder="1" applyAlignment="1">
      <alignment horizontal="center" vertical="center" wrapText="1"/>
    </xf>
    <xf numFmtId="4" fontId="1" fillId="18" borderId="50" xfId="0" applyNumberFormat="1" applyFont="1" applyFill="1" applyBorder="1" applyAlignment="1">
      <alignment horizontal="center" vertical="center" wrapText="1"/>
    </xf>
    <xf numFmtId="14" fontId="1" fillId="4" borderId="48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5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8" xfId="0" applyNumberFormat="1" applyFont="1" applyFill="1" applyBorder="1" applyAlignment="1">
      <alignment horizontal="center" vertical="center" wrapText="1"/>
    </xf>
    <xf numFmtId="49" fontId="1" fillId="18" borderId="50" xfId="0" applyNumberFormat="1" applyFont="1" applyFill="1" applyBorder="1" applyAlignment="1">
      <alignment horizontal="center" vertical="center" wrapText="1"/>
    </xf>
    <xf numFmtId="49" fontId="1" fillId="18" borderId="45" xfId="0" applyNumberFormat="1" applyFont="1" applyFill="1" applyBorder="1" applyAlignment="1">
      <alignment horizontal="center" vertical="center" wrapText="1"/>
    </xf>
    <xf numFmtId="49" fontId="1" fillId="18" borderId="46" xfId="0" applyNumberFormat="1" applyFont="1" applyFill="1" applyBorder="1" applyAlignment="1">
      <alignment horizontal="center" vertical="center" wrapText="1"/>
    </xf>
    <xf numFmtId="49" fontId="1" fillId="18" borderId="47" xfId="0" applyNumberFormat="1" applyFont="1" applyFill="1" applyBorder="1" applyAlignment="1">
      <alignment horizontal="center" vertical="center" wrapText="1"/>
    </xf>
    <xf numFmtId="14" fontId="1" fillId="4" borderId="45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>
      <alignment horizontal="center" vertical="center" wrapText="1"/>
    </xf>
    <xf numFmtId="49" fontId="1" fillId="18" borderId="30" xfId="0" applyNumberFormat="1" applyFont="1" applyFill="1" applyBorder="1" applyAlignment="1">
      <alignment horizontal="center" vertical="center" wrapText="1"/>
    </xf>
    <xf numFmtId="49" fontId="1" fillId="18" borderId="27" xfId="0" applyNumberFormat="1" applyFont="1" applyFill="1" applyBorder="1" applyAlignment="1">
      <alignment horizontal="center" vertical="center" wrapText="1"/>
    </xf>
    <xf numFmtId="1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9" xfId="0" applyNumberFormat="1" applyFont="1" applyFill="1" applyBorder="1" applyAlignment="1">
      <alignment horizontal="center" vertical="center" wrapText="1"/>
    </xf>
    <xf numFmtId="49" fontId="1" fillId="4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6" xfId="0" applyNumberFormat="1" applyFont="1" applyFill="1" applyBorder="1" applyAlignment="1">
      <alignment horizontal="center" vertical="center" wrapText="1"/>
    </xf>
    <xf numFmtId="49" fontId="1" fillId="18" borderId="39" xfId="0" applyNumberFormat="1" applyFont="1" applyFill="1" applyBorder="1" applyAlignment="1">
      <alignment horizontal="center" vertical="center" wrapText="1"/>
    </xf>
    <xf numFmtId="49" fontId="1" fillId="18" borderId="42" xfId="0" applyNumberFormat="1" applyFont="1" applyFill="1" applyBorder="1" applyAlignment="1">
      <alignment horizontal="center" vertical="center" wrapText="1"/>
    </xf>
    <xf numFmtId="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9" xfId="0" applyFont="1" applyFill="1" applyBorder="1" applyAlignment="1" applyProtection="1">
      <alignment horizontal="center" vertical="center" wrapText="1"/>
      <protection locked="0"/>
    </xf>
    <xf numFmtId="1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9" xfId="0" applyNumberFormat="1" applyFont="1" applyFill="1" applyBorder="1" applyAlignment="1">
      <alignment horizontal="center" vertical="center" wrapText="1"/>
    </xf>
    <xf numFmtId="167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7" xfId="0" applyNumberFormat="1" applyFont="1" applyFill="1" applyBorder="1" applyAlignment="1">
      <alignment horizontal="center" vertical="center" wrapText="1"/>
    </xf>
    <xf numFmtId="4" fontId="1" fillId="18" borderId="40" xfId="0" applyNumberFormat="1" applyFont="1" applyFill="1" applyBorder="1" applyAlignment="1">
      <alignment horizontal="center" vertical="center" wrapText="1"/>
    </xf>
    <xf numFmtId="4" fontId="1" fillId="18" borderId="43" xfId="0" applyNumberFormat="1" applyFont="1" applyFill="1" applyBorder="1" applyAlignment="1">
      <alignment horizontal="center" vertical="center" wrapText="1"/>
    </xf>
    <xf numFmtId="167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8" xfId="0" applyFont="1" applyFill="1" applyBorder="1" applyAlignment="1" applyProtection="1">
      <alignment horizontal="center" vertical="center" wrapText="1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0" fontId="1" fillId="18" borderId="44" xfId="0" applyFont="1" applyFill="1" applyBorder="1" applyAlignment="1" applyProtection="1">
      <alignment horizontal="center" vertical="center" wrapText="1"/>
      <protection locked="0"/>
    </xf>
    <xf numFmtId="165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>
      <alignment horizontal="center" vertical="center" wrapText="1"/>
    </xf>
    <xf numFmtId="4" fontId="1" fillId="18" borderId="31" xfId="0" applyNumberFormat="1" applyFont="1" applyFill="1" applyBorder="1" applyAlignment="1">
      <alignment horizontal="center" vertical="center" wrapText="1"/>
    </xf>
    <xf numFmtId="4" fontId="1" fillId="18" borderId="28" xfId="0" applyNumberFormat="1" applyFont="1" applyFill="1" applyBorder="1" applyAlignment="1">
      <alignment horizontal="center" vertical="center" wrapText="1"/>
    </xf>
    <xf numFmtId="49" fontId="1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>
      <alignment horizontal="center" vertical="center" wrapText="1"/>
    </xf>
    <xf numFmtId="4" fontId="1" fillId="18" borderId="23" xfId="0" applyNumberFormat="1" applyFont="1" applyFill="1" applyBorder="1" applyAlignment="1">
      <alignment horizontal="center" vertical="center" wrapText="1"/>
    </xf>
    <xf numFmtId="4" fontId="1" fillId="18" borderId="22" xfId="0" applyNumberFormat="1" applyFont="1" applyFill="1" applyBorder="1" applyAlignment="1">
      <alignment horizontal="center" vertical="center" wrapText="1"/>
    </xf>
    <xf numFmtId="16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49" fontId="1" fillId="18" borderId="22" xfId="0" applyNumberFormat="1" applyFont="1" applyFill="1" applyBorder="1" applyAlignment="1">
      <alignment horizontal="center" vertical="center" wrapText="1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  <xf numFmtId="170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1" xfId="0" applyNumberFormat="1" applyFont="1" applyFill="1" applyBorder="1" applyAlignment="1">
      <alignment horizontal="center" vertical="center" wrapText="1"/>
    </xf>
    <xf numFmtId="49" fontId="1" fillId="4" borderId="7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1" xfId="0" applyNumberFormat="1" applyFont="1" applyFill="1" applyBorder="1" applyAlignment="1">
      <alignment horizontal="center" vertical="center" wrapText="1"/>
    </xf>
    <xf numFmtId="167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1" xfId="0" applyFont="1" applyFill="1" applyBorder="1" applyAlignment="1" applyProtection="1">
      <alignment horizontal="center" vertical="center" wrapText="1"/>
      <protection locked="0"/>
    </xf>
    <xf numFmtId="49" fontId="1" fillId="18" borderId="72" xfId="0" applyNumberFormat="1" applyFont="1" applyFill="1" applyBorder="1" applyAlignment="1">
      <alignment horizontal="center" vertical="center" wrapText="1"/>
    </xf>
    <xf numFmtId="49" fontId="1" fillId="4" borderId="7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2" xfId="0" applyNumberFormat="1" applyFont="1" applyFill="1" applyBorder="1" applyAlignment="1">
      <alignment horizontal="center" vertical="center" wrapText="1"/>
    </xf>
    <xf numFmtId="167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7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2" xfId="0" applyFont="1" applyFill="1" applyBorder="1" applyAlignment="1" applyProtection="1">
      <alignment horizontal="center" vertical="center" wrapText="1"/>
      <protection locked="0"/>
    </xf>
    <xf numFmtId="49" fontId="1" fillId="18" borderId="73" xfId="0" applyNumberFormat="1" applyFont="1" applyFill="1" applyBorder="1" applyAlignment="1">
      <alignment horizontal="center" vertical="center" wrapText="1"/>
    </xf>
    <xf numFmtId="49" fontId="1" fillId="4" borderId="7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3" xfId="0" applyNumberFormat="1" applyFont="1" applyFill="1" applyBorder="1" applyAlignment="1">
      <alignment horizontal="center" vertical="center" wrapText="1"/>
    </xf>
    <xf numFmtId="167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7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3" xfId="0" applyFont="1" applyFill="1" applyBorder="1" applyAlignment="1" applyProtection="1">
      <alignment horizontal="center" vertical="center" wrapText="1"/>
      <protection locked="0"/>
    </xf>
    <xf numFmtId="170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70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70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170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70" fontId="1" fillId="0" borderId="72" xfId="0" applyNumberFormat="1" applyFont="1" applyFill="1" applyBorder="1" applyAlignment="1" applyProtection="1">
      <alignment horizontal="center" vertical="center" wrapText="1"/>
      <protection locked="0"/>
    </xf>
    <xf numFmtId="170" fontId="1" fillId="0" borderId="73" xfId="0" applyNumberFormat="1" applyFont="1" applyFill="1" applyBorder="1" applyAlignment="1" applyProtection="1">
      <alignment horizontal="center" vertical="center" wrapText="1"/>
      <protection locked="0"/>
    </xf>
    <xf numFmtId="170" fontId="1" fillId="4" borderId="71" xfId="0" applyNumberFormat="1" applyFont="1" applyFill="1" applyBorder="1" applyAlignment="1" applyProtection="1">
      <alignment horizontal="center" vertical="center" wrapText="1"/>
      <protection locked="0"/>
    </xf>
    <xf numFmtId="170" fontId="1" fillId="4" borderId="72" xfId="0" applyNumberFormat="1" applyFont="1" applyFill="1" applyBorder="1" applyAlignment="1" applyProtection="1">
      <alignment horizontal="center" vertical="center" wrapText="1"/>
      <protection locked="0"/>
    </xf>
    <xf numFmtId="170" fontId="1" fillId="4" borderId="7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4" xfId="0" applyNumberFormat="1" applyFont="1" applyFill="1" applyBorder="1" applyAlignment="1">
      <alignment horizontal="center" vertical="center" wrapText="1"/>
    </xf>
    <xf numFmtId="49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5" xfId="0" applyNumberFormat="1" applyFont="1" applyFill="1" applyBorder="1" applyAlignment="1">
      <alignment horizontal="center" vertical="center" wrapText="1"/>
    </xf>
    <xf numFmtId="167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6" xfId="0" applyFont="1" applyFill="1" applyBorder="1" applyAlignment="1" applyProtection="1">
      <alignment horizontal="center" vertical="center" wrapText="1"/>
      <protection locked="0"/>
    </xf>
    <xf numFmtId="49" fontId="1" fillId="18" borderId="77" xfId="0" applyNumberFormat="1" applyFont="1" applyFill="1" applyBorder="1" applyAlignment="1">
      <alignment horizontal="center" vertical="center" wrapText="1"/>
    </xf>
    <xf numFmtId="49" fontId="1" fillId="18" borderId="7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8" xfId="0" applyNumberFormat="1" applyFont="1" applyFill="1" applyBorder="1" applyAlignment="1">
      <alignment horizontal="center" vertical="center" wrapText="1"/>
    </xf>
    <xf numFmtId="167" fontId="1" fillId="18" borderId="7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78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9" xfId="0" applyFont="1" applyFill="1" applyBorder="1" applyAlignment="1" applyProtection="1">
      <alignment horizontal="center" vertical="center" wrapText="1"/>
      <protection locked="0"/>
    </xf>
    <xf numFmtId="49" fontId="1" fillId="18" borderId="80" xfId="0" applyNumberFormat="1" applyFont="1" applyFill="1" applyBorder="1" applyAlignment="1">
      <alignment horizontal="center" vertical="center" wrapText="1"/>
    </xf>
    <xf numFmtId="49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1" xfId="0" applyNumberFormat="1" applyFont="1" applyFill="1" applyBorder="1" applyAlignment="1">
      <alignment horizontal="center" vertical="center" wrapText="1"/>
    </xf>
    <xf numFmtId="167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8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82" xfId="0" applyFont="1" applyFill="1" applyBorder="1" applyAlignment="1" applyProtection="1">
      <alignment horizontal="center" vertical="center" wrapText="1"/>
      <protection locked="0"/>
    </xf>
    <xf numFmtId="170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70" fontId="1" fillId="18" borderId="78" xfId="0" applyNumberFormat="1" applyFont="1" applyFill="1" applyBorder="1" applyAlignment="1" applyProtection="1">
      <alignment horizontal="center" vertical="center" wrapText="1"/>
      <protection locked="0"/>
    </xf>
    <xf numFmtId="170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170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70" fontId="1" fillId="0" borderId="78" xfId="0" applyNumberFormat="1" applyFont="1" applyFill="1" applyBorder="1" applyAlignment="1" applyProtection="1">
      <alignment horizontal="center" vertical="center" wrapText="1"/>
      <protection locked="0"/>
    </xf>
    <xf numFmtId="170" fontId="1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78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81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/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/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/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3</xdr:row>
      <xdr:rowOff>504000</xdr:rowOff>
    </xdr:to>
    <xdr:sp macro="[0]!УдалитьСтрокуП4" textlink="">
      <xdr:nvSpPr>
        <xdr:cNvPr id="5" name="Скругленный прямоугольник 4"/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349826</xdr:colOff>
      <xdr:row>3</xdr:row>
      <xdr:rowOff>6924</xdr:rowOff>
    </xdr:from>
    <xdr:to>
      <xdr:col>13</xdr:col>
      <xdr:colOff>1080626</xdr:colOff>
      <xdr:row>3</xdr:row>
      <xdr:rowOff>501399</xdr:rowOff>
    </xdr:to>
    <xdr:sp macro="[0]!УдалитьСтрокуП5" textlink="">
      <xdr:nvSpPr>
        <xdr:cNvPr id="3" name="Скругленный прямоугольник 2"/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2</xdr:row>
      <xdr:rowOff>228600</xdr:rowOff>
    </xdr:from>
    <xdr:to>
      <xdr:col>8</xdr:col>
      <xdr:colOff>1420928</xdr:colOff>
      <xdr:row>3</xdr:row>
      <xdr:rowOff>484950</xdr:rowOff>
    </xdr:to>
    <xdr:sp macro="[0]!ДобавитьКонтрактП5" textlink="">
      <xdr:nvSpPr>
        <xdr:cNvPr id="4" name="Скругленный прямоугольник 3"/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2346612</xdr:colOff>
      <xdr:row>3</xdr:row>
      <xdr:rowOff>0</xdr:rowOff>
    </xdr:from>
    <xdr:to>
      <xdr:col>18</xdr:col>
      <xdr:colOff>619962</xdr:colOff>
      <xdr:row>3</xdr:row>
      <xdr:rowOff>509154</xdr:rowOff>
    </xdr:to>
    <xdr:sp macro="[0]!ДобавитьППАктП5" textlink="">
      <xdr:nvSpPr>
        <xdr:cNvPr id="5" name="Скругленный прямоугольник 4"/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507423</xdr:rowOff>
    </xdr:to>
    <xdr:sp macro="[0]!ДобавитьКонтрактSt93" textlink="">
      <xdr:nvSpPr>
        <xdr:cNvPr id="2" name="Скругленный прямоугольник 1"/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2</xdr:row>
      <xdr:rowOff>228600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/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507422</xdr:rowOff>
    </xdr:to>
    <xdr:sp macro="[0]!УдалитьСтрокуSt93" textlink="">
      <xdr:nvSpPr>
        <xdr:cNvPr id="6" name="Скругленный прямоугольник 5"/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/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/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/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/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/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/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3</xdr:row>
      <xdr:rowOff>504000</xdr:rowOff>
    </xdr:to>
    <xdr:sp macro="[0]!ДобавитьКонтрактIKZ" textlink="">
      <xdr:nvSpPr>
        <xdr:cNvPr id="2" name="Скругленный прямоугольник 1"/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16</xdr:col>
      <xdr:colOff>64050</xdr:colOff>
      <xdr:row>4</xdr:row>
      <xdr:rowOff>0</xdr:rowOff>
    </xdr:to>
    <xdr:sp macro="[0]!УдалитьСтрокуIKZ" textlink="">
      <xdr:nvSpPr>
        <xdr:cNvPr id="3" name="Скругленный прямоугольник 2"/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1136100</xdr:colOff>
      <xdr:row>3</xdr:row>
      <xdr:rowOff>10350</xdr:rowOff>
    </xdr:from>
    <xdr:to>
      <xdr:col>22</xdr:col>
      <xdr:colOff>1219200</xdr:colOff>
      <xdr:row>4</xdr:row>
      <xdr:rowOff>0</xdr:rowOff>
    </xdr:to>
    <xdr:sp macro="[0]!ДобавитьППАктIKZ" textlink="">
      <xdr:nvSpPr>
        <xdr:cNvPr id="4" name="Скругленный прямоугольник 3"/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zoomScale="70" zoomScaleNormal="70" workbookViewId="0">
      <selection activeCell="D4" sqref="D4"/>
    </sheetView>
  </sheetViews>
  <sheetFormatPr defaultColWidth="0" defaultRowHeight="15" x14ac:dyDescent="0.25"/>
  <cols>
    <col min="1" max="2" width="9.140625" style="9" customWidth="1"/>
    <col min="3" max="3" width="25.28515625" style="9" customWidth="1"/>
    <col min="4" max="5" width="9.140625" style="9" customWidth="1"/>
    <col min="6" max="6" width="11.7109375" style="9" customWidth="1"/>
    <col min="7" max="7" width="19" style="9" customWidth="1"/>
    <col min="8" max="8" width="6.5703125" style="9" customWidth="1"/>
    <col min="9" max="9" width="5.5703125" style="9" customWidth="1"/>
    <col min="10" max="10" width="15" style="9" customWidth="1"/>
    <col min="11" max="11" width="14.85546875" style="9" customWidth="1"/>
    <col min="12" max="12" width="21.28515625" style="9" customWidth="1"/>
    <col min="13" max="13" width="10.140625" style="9" customWidth="1"/>
    <col min="14" max="14" width="17.140625" style="9" bestFit="1" customWidth="1"/>
    <col min="15" max="22" width="9.140625" style="9" hidden="1" customWidth="1"/>
    <col min="23" max="23" width="30.7109375" style="9" hidden="1" customWidth="1"/>
    <col min="24" max="16384" width="9.140625" style="9" hidden="1"/>
  </cols>
  <sheetData>
    <row r="1" spans="1:14" ht="27" customHeight="1" thickBot="1" x14ac:dyDescent="0.3">
      <c r="A1" s="368" t="s">
        <v>141</v>
      </c>
      <c r="B1" s="369"/>
      <c r="C1" s="369"/>
      <c r="D1" s="369"/>
      <c r="E1" s="368" t="s">
        <v>239</v>
      </c>
      <c r="F1" s="369"/>
      <c r="G1" s="369"/>
      <c r="H1" s="369"/>
      <c r="I1" s="369"/>
      <c r="J1" s="369"/>
      <c r="K1" s="369"/>
      <c r="L1" s="369"/>
      <c r="M1" s="369"/>
      <c r="N1" s="370"/>
    </row>
    <row r="3" spans="1:14" ht="15.75" thickBot="1" x14ac:dyDescent="0.3">
      <c r="I3" s="21"/>
      <c r="J3" s="21"/>
      <c r="K3" s="21"/>
      <c r="L3" s="21"/>
      <c r="M3" s="21"/>
      <c r="N3" s="21"/>
    </row>
    <row r="4" spans="1:14" ht="32.25" customHeight="1" thickBot="1" x14ac:dyDescent="0.3">
      <c r="A4" s="404" t="s">
        <v>25</v>
      </c>
      <c r="B4" s="405"/>
      <c r="C4" s="4">
        <v>8824160.8000000007</v>
      </c>
      <c r="D4" s="5"/>
      <c r="E4" s="406" t="s">
        <v>140</v>
      </c>
      <c r="F4" s="407"/>
      <c r="G4" s="408"/>
      <c r="H4" s="409">
        <v>2000000</v>
      </c>
      <c r="I4" s="410"/>
      <c r="J4" s="411"/>
      <c r="K4" s="22"/>
      <c r="L4" s="99" t="s">
        <v>55</v>
      </c>
      <c r="M4" s="406">
        <v>5000000</v>
      </c>
      <c r="N4" s="408"/>
    </row>
    <row r="5" spans="1:14" ht="30.75" customHeight="1" thickBot="1" x14ac:dyDescent="0.3">
      <c r="A5" s="404" t="s">
        <v>26</v>
      </c>
      <c r="B5" s="405"/>
      <c r="C5" s="6">
        <f>C4-G15+J15</f>
        <v>1185872.7300000007</v>
      </c>
      <c r="D5" s="5"/>
      <c r="E5" s="406" t="s">
        <v>53</v>
      </c>
      <c r="F5" s="407"/>
      <c r="G5" s="408"/>
      <c r="H5" s="399">
        <f>H4-G12</f>
        <v>280211.9599999995</v>
      </c>
      <c r="I5" s="400"/>
      <c r="J5" s="401"/>
      <c r="K5" s="22"/>
      <c r="L5" s="99" t="s">
        <v>54</v>
      </c>
      <c r="M5" s="402">
        <f>M4-G13</f>
        <v>278194.79000000004</v>
      </c>
      <c r="N5" s="403"/>
    </row>
    <row r="6" spans="1:14" x14ac:dyDescent="0.25">
      <c r="C6" s="7"/>
      <c r="D6" s="10"/>
      <c r="E6" s="10"/>
      <c r="F6" s="10"/>
      <c r="G6" s="10"/>
      <c r="H6" s="10"/>
      <c r="I6" s="10"/>
      <c r="J6" s="10"/>
      <c r="K6" s="10"/>
      <c r="L6" s="10"/>
    </row>
    <row r="7" spans="1:14" ht="15.75" thickBot="1" x14ac:dyDescent="0.3"/>
    <row r="8" spans="1:14" ht="72" customHeight="1" thickBot="1" x14ac:dyDescent="0.3">
      <c r="A8" s="412" t="s">
        <v>27</v>
      </c>
      <c r="B8" s="413"/>
      <c r="C8" s="414"/>
      <c r="D8" s="412" t="s">
        <v>28</v>
      </c>
      <c r="E8" s="413"/>
      <c r="F8" s="414"/>
      <c r="G8" s="415" t="s">
        <v>29</v>
      </c>
      <c r="H8" s="416"/>
      <c r="I8" s="417"/>
      <c r="J8" s="415" t="s">
        <v>142</v>
      </c>
      <c r="K8" s="416"/>
      <c r="L8" s="417"/>
      <c r="M8" s="412" t="s">
        <v>30</v>
      </c>
      <c r="N8" s="414"/>
    </row>
    <row r="9" spans="1:14" ht="41.25" customHeight="1" thickBot="1" x14ac:dyDescent="0.3">
      <c r="A9" s="390" t="s">
        <v>31</v>
      </c>
      <c r="B9" s="391"/>
      <c r="C9" s="392"/>
      <c r="D9" s="389">
        <f>'Состоявшиеся аукционы'!G2</f>
        <v>1000000</v>
      </c>
      <c r="E9" s="389"/>
      <c r="F9" s="389"/>
      <c r="G9" s="389">
        <f>'Состоявшиеся аукционы'!Q2</f>
        <v>925000</v>
      </c>
      <c r="H9" s="389"/>
      <c r="I9" s="389"/>
      <c r="J9" s="386">
        <f>'Состоявшиеся аукционы'!AB2</f>
        <v>0</v>
      </c>
      <c r="K9" s="387"/>
      <c r="L9" s="388"/>
      <c r="M9" s="389">
        <f t="shared" ref="M9:M15" si="0">D9-G9</f>
        <v>75000</v>
      </c>
      <c r="N9" s="389"/>
    </row>
    <row r="10" spans="1:14" ht="78.75" customHeight="1" thickBot="1" x14ac:dyDescent="0.3">
      <c r="A10" s="390" t="s">
        <v>49</v>
      </c>
      <c r="B10" s="391"/>
      <c r="C10" s="392"/>
      <c r="D10" s="389">
        <f>'Несостоявшиеся аукционы'!G2</f>
        <v>0</v>
      </c>
      <c r="E10" s="389"/>
      <c r="F10" s="389"/>
      <c r="G10" s="389">
        <f>'Несостоявшиеся аукционы'!Q2</f>
        <v>0</v>
      </c>
      <c r="H10" s="389"/>
      <c r="I10" s="389"/>
      <c r="J10" s="386">
        <f>'Несостоявшиеся аукционы'!AB2</f>
        <v>0</v>
      </c>
      <c r="K10" s="387"/>
      <c r="L10" s="388"/>
      <c r="M10" s="389">
        <f t="shared" si="0"/>
        <v>0</v>
      </c>
      <c r="N10" s="389"/>
    </row>
    <row r="11" spans="1:14" ht="40.5" customHeight="1" thickBot="1" x14ac:dyDescent="0.3">
      <c r="A11" s="390" t="s">
        <v>83</v>
      </c>
      <c r="B11" s="391"/>
      <c r="C11" s="392"/>
      <c r="D11" s="386">
        <f>'Иные конкурентные закупки'!G2</f>
        <v>0</v>
      </c>
      <c r="E11" s="387"/>
      <c r="F11" s="388"/>
      <c r="G11" s="386">
        <f>'Иные конкурентные закупки'!Q2</f>
        <v>0</v>
      </c>
      <c r="H11" s="387"/>
      <c r="I11" s="388"/>
      <c r="J11" s="386">
        <f>'Иные конкурентные закупки'!AB2</f>
        <v>0</v>
      </c>
      <c r="K11" s="387"/>
      <c r="L11" s="388"/>
      <c r="M11" s="386">
        <f t="shared" si="0"/>
        <v>0</v>
      </c>
      <c r="N11" s="388"/>
    </row>
    <row r="12" spans="1:14" ht="54.75" customHeight="1" thickBot="1" x14ac:dyDescent="0.3">
      <c r="A12" s="393" t="s">
        <v>50</v>
      </c>
      <c r="B12" s="394"/>
      <c r="C12" s="395"/>
      <c r="D12" s="389">
        <f>'Ед. поставщик п.4 ч.1'!H2</f>
        <v>1719788.0400000005</v>
      </c>
      <c r="E12" s="389"/>
      <c r="F12" s="389"/>
      <c r="G12" s="389">
        <f>D12</f>
        <v>1719788.0400000005</v>
      </c>
      <c r="H12" s="389"/>
      <c r="I12" s="389"/>
      <c r="J12" s="386">
        <f>'Ед. поставщик п.4 ч.1'!V2</f>
        <v>34365.5</v>
      </c>
      <c r="K12" s="387"/>
      <c r="L12" s="388"/>
      <c r="M12" s="389">
        <f t="shared" si="0"/>
        <v>0</v>
      </c>
      <c r="N12" s="389"/>
    </row>
    <row r="13" spans="1:14" ht="45.75" customHeight="1" thickBot="1" x14ac:dyDescent="0.3">
      <c r="A13" s="393" t="s">
        <v>51</v>
      </c>
      <c r="B13" s="394"/>
      <c r="C13" s="395"/>
      <c r="D13" s="389">
        <f>'Ед. поставщик п.5 ч.1'!H2</f>
        <v>4721805.21</v>
      </c>
      <c r="E13" s="389"/>
      <c r="F13" s="389"/>
      <c r="G13" s="389">
        <f>D13</f>
        <v>4721805.21</v>
      </c>
      <c r="H13" s="389"/>
      <c r="I13" s="389"/>
      <c r="J13" s="386">
        <f>'Ед. поставщик п.5 ч.1'!V2</f>
        <v>396939.68</v>
      </c>
      <c r="K13" s="387"/>
      <c r="L13" s="388"/>
      <c r="M13" s="389">
        <f t="shared" si="0"/>
        <v>0</v>
      </c>
      <c r="N13" s="389"/>
    </row>
    <row r="14" spans="1:14" ht="45.75" customHeight="1" thickBot="1" x14ac:dyDescent="0.3">
      <c r="A14" s="383" t="s">
        <v>52</v>
      </c>
      <c r="B14" s="384"/>
      <c r="C14" s="385"/>
      <c r="D14" s="386">
        <f>'Ед.поставщик за искл. п.4,5 ч.1'!G2</f>
        <v>703000</v>
      </c>
      <c r="E14" s="387"/>
      <c r="F14" s="388"/>
      <c r="G14" s="386">
        <f>D14</f>
        <v>703000</v>
      </c>
      <c r="H14" s="387"/>
      <c r="I14" s="388"/>
      <c r="J14" s="386">
        <f>'Ед.поставщик за искл. п.4,5 ч.1'!T2</f>
        <v>0</v>
      </c>
      <c r="K14" s="387"/>
      <c r="L14" s="388"/>
      <c r="M14" s="389">
        <f t="shared" si="0"/>
        <v>0</v>
      </c>
      <c r="N14" s="389"/>
    </row>
    <row r="15" spans="1:14" ht="21" thickBot="1" x14ac:dyDescent="0.3">
      <c r="A15" s="396" t="s">
        <v>143</v>
      </c>
      <c r="B15" s="397"/>
      <c r="C15" s="398"/>
      <c r="D15" s="389">
        <f>SUM(D9:D14)</f>
        <v>8144593.25</v>
      </c>
      <c r="E15" s="389"/>
      <c r="F15" s="389"/>
      <c r="G15" s="386">
        <f>SUM(G9:G14)</f>
        <v>8069593.25</v>
      </c>
      <c r="H15" s="387"/>
      <c r="I15" s="388"/>
      <c r="J15" s="386">
        <f>SUM(J9:J14)</f>
        <v>431305.18</v>
      </c>
      <c r="K15" s="387"/>
      <c r="L15" s="388"/>
      <c r="M15" s="389">
        <f t="shared" si="0"/>
        <v>75000</v>
      </c>
      <c r="N15" s="389"/>
    </row>
    <row r="18" spans="1:12" ht="15.75" thickBot="1" x14ac:dyDescent="0.3"/>
    <row r="19" spans="1:12" ht="23.25" customHeight="1" x14ac:dyDescent="0.25">
      <c r="A19" s="371" t="s">
        <v>35</v>
      </c>
      <c r="B19" s="372"/>
      <c r="C19" s="373"/>
      <c r="D19" s="377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5307477.3699999992</v>
      </c>
      <c r="E19" s="378"/>
      <c r="F19" s="378"/>
      <c r="G19" s="379"/>
      <c r="I19" s="20"/>
      <c r="J19" s="20"/>
      <c r="K19" s="20"/>
      <c r="L19" s="20"/>
    </row>
    <row r="20" spans="1:12" ht="24" customHeight="1" thickBot="1" x14ac:dyDescent="0.3">
      <c r="A20" s="374"/>
      <c r="B20" s="375"/>
      <c r="C20" s="376"/>
      <c r="D20" s="380"/>
      <c r="E20" s="381"/>
      <c r="F20" s="381"/>
      <c r="G20" s="382"/>
      <c r="I20" s="20"/>
      <c r="J20" s="20"/>
      <c r="K20" s="20"/>
      <c r="L20" s="20"/>
    </row>
  </sheetData>
  <mergeCells count="52"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</sheetPr>
  <dimension ref="A1:X150"/>
  <sheetViews>
    <sheetView showGridLines="0" topLeftCell="F1" zoomScale="50" zoomScaleNormal="50" workbookViewId="0">
      <pane ySplit="8" topLeftCell="A109" activePane="bottomLeft" state="frozen"/>
      <selection activeCell="I1" sqref="I1"/>
      <selection pane="bottomLeft" activeCell="F108" sqref="F108:F121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2" customWidth="1"/>
    <col min="6" max="6" width="27.5703125" style="3" customWidth="1"/>
    <col min="7" max="7" width="49.140625" style="3" customWidth="1"/>
    <col min="8" max="8" width="26.85546875" style="11" customWidth="1"/>
    <col min="9" max="9" width="21.85546875" style="11" customWidth="1"/>
    <col min="10" max="10" width="33.5703125" style="3" customWidth="1"/>
    <col min="11" max="12" width="28.28515625" style="3" customWidth="1"/>
    <col min="13" max="13" width="34.85546875" style="3" customWidth="1"/>
    <col min="14" max="14" width="28.85546875" style="12" customWidth="1"/>
    <col min="15" max="15" width="28.85546875" style="3" customWidth="1"/>
    <col min="16" max="16" width="24" style="32" customWidth="1"/>
    <col min="17" max="17" width="24" style="12" bestFit="1" customWidth="1"/>
    <col min="18" max="18" width="23.42578125" style="8" customWidth="1"/>
    <col min="19" max="20" width="23.7109375" style="8" customWidth="1"/>
    <col min="21" max="21" width="24.5703125" style="12" customWidth="1"/>
    <col min="22" max="22" width="25.5703125" style="32" customWidth="1"/>
    <col min="23" max="23" width="17.7109375" style="8" customWidth="1"/>
    <col min="24" max="16384" width="9.140625" style="8" hidden="1"/>
  </cols>
  <sheetData>
    <row r="1" spans="1:24" ht="19.5" thickBot="1" x14ac:dyDescent="0.3"/>
    <row r="2" spans="1:24" ht="39.950000000000003" customHeight="1" thickBot="1" x14ac:dyDescent="0.3">
      <c r="A2" s="86"/>
      <c r="B2" s="86"/>
      <c r="C2" s="86"/>
      <c r="D2" s="86"/>
      <c r="E2" s="86"/>
      <c r="F2" s="43"/>
      <c r="G2" s="101" t="s">
        <v>24</v>
      </c>
      <c r="H2" s="98">
        <f>SUM(H9:H9985)</f>
        <v>1719788.0400000005</v>
      </c>
      <c r="K2" s="506"/>
      <c r="L2" s="506"/>
      <c r="M2" s="506"/>
      <c r="N2" s="507" t="s">
        <v>137</v>
      </c>
      <c r="O2" s="509"/>
      <c r="P2" s="87">
        <f>SUM(P9:P9985)</f>
        <v>1501596.2800000003</v>
      </c>
      <c r="R2" s="86"/>
      <c r="S2" s="507" t="s">
        <v>45</v>
      </c>
      <c r="T2" s="508"/>
      <c r="U2" s="509"/>
      <c r="V2" s="88">
        <f>SUM(V9:V9985)</f>
        <v>34365.5</v>
      </c>
    </row>
    <row r="3" spans="1:24" x14ac:dyDescent="0.25">
      <c r="A3" s="506"/>
      <c r="B3" s="506"/>
      <c r="C3" s="506"/>
      <c r="D3" s="506"/>
      <c r="E3" s="506"/>
      <c r="F3" s="45"/>
      <c r="N3" s="86"/>
    </row>
    <row r="4" spans="1:24" ht="39.950000000000003" customHeight="1" x14ac:dyDescent="0.25">
      <c r="A4" s="14"/>
      <c r="B4" s="14"/>
      <c r="C4" s="14"/>
      <c r="D4" s="14"/>
      <c r="E4" s="29"/>
      <c r="F4" s="14"/>
      <c r="J4" s="510"/>
      <c r="K4" s="510"/>
      <c r="M4" s="510"/>
      <c r="N4" s="510"/>
      <c r="O4" s="510"/>
      <c r="P4" s="510"/>
    </row>
    <row r="5" spans="1:24" x14ac:dyDescent="0.25">
      <c r="A5" s="14"/>
      <c r="B5" s="14"/>
      <c r="C5" s="14"/>
      <c r="D5" s="14"/>
      <c r="E5" s="29"/>
      <c r="F5" s="14"/>
      <c r="G5" s="14"/>
      <c r="H5" s="15"/>
    </row>
    <row r="6" spans="1:24" ht="159" customHeight="1" x14ac:dyDescent="0.25">
      <c r="A6" s="69" t="s">
        <v>8</v>
      </c>
      <c r="B6" s="69" t="s">
        <v>47</v>
      </c>
      <c r="C6" s="69" t="s">
        <v>145</v>
      </c>
      <c r="D6" s="69" t="s">
        <v>10</v>
      </c>
      <c r="E6" s="68" t="s">
        <v>1</v>
      </c>
      <c r="F6" s="69" t="s">
        <v>2</v>
      </c>
      <c r="G6" s="69" t="s">
        <v>3</v>
      </c>
      <c r="H6" s="71" t="s">
        <v>4</v>
      </c>
      <c r="I6" s="71" t="s">
        <v>22</v>
      </c>
      <c r="J6" s="69" t="s">
        <v>46</v>
      </c>
      <c r="K6" s="69" t="s">
        <v>5</v>
      </c>
      <c r="L6" s="69" t="s">
        <v>82</v>
      </c>
      <c r="M6" s="69" t="s">
        <v>44</v>
      </c>
      <c r="N6" s="68" t="s">
        <v>7</v>
      </c>
      <c r="O6" s="69" t="s">
        <v>6</v>
      </c>
      <c r="P6" s="70" t="s">
        <v>23</v>
      </c>
      <c r="Q6" s="68" t="s">
        <v>9</v>
      </c>
      <c r="R6" s="67" t="s">
        <v>40</v>
      </c>
      <c r="S6" s="67" t="s">
        <v>103</v>
      </c>
      <c r="T6" s="67" t="s">
        <v>104</v>
      </c>
      <c r="U6" s="68" t="s">
        <v>41</v>
      </c>
      <c r="V6" s="70" t="s">
        <v>105</v>
      </c>
      <c r="W6" s="67" t="s">
        <v>42</v>
      </c>
    </row>
    <row r="7" spans="1:24" x14ac:dyDescent="0.25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</row>
    <row r="8" spans="1:24" s="19" customFormat="1" ht="93.75" x14ac:dyDescent="0.25">
      <c r="A8" s="72">
        <v>1</v>
      </c>
      <c r="B8" s="72" t="s">
        <v>56</v>
      </c>
      <c r="C8" s="72"/>
      <c r="D8" s="72" t="s">
        <v>58</v>
      </c>
      <c r="E8" s="73" t="s">
        <v>57</v>
      </c>
      <c r="F8" s="73" t="s">
        <v>107</v>
      </c>
      <c r="G8" s="72" t="s">
        <v>59</v>
      </c>
      <c r="H8" s="79">
        <v>20000</v>
      </c>
      <c r="I8" s="79">
        <f>H8-P8</f>
        <v>0</v>
      </c>
      <c r="J8" s="72" t="s">
        <v>60</v>
      </c>
      <c r="K8" s="72" t="s">
        <v>61</v>
      </c>
      <c r="L8" s="72"/>
      <c r="M8" s="72" t="s">
        <v>62</v>
      </c>
      <c r="N8" s="73">
        <v>43840</v>
      </c>
      <c r="O8" s="72" t="s">
        <v>144</v>
      </c>
      <c r="P8" s="103">
        <v>20000</v>
      </c>
      <c r="Q8" s="73">
        <v>43840</v>
      </c>
      <c r="R8" s="72"/>
      <c r="S8" s="79"/>
      <c r="T8" s="79"/>
      <c r="U8" s="73"/>
      <c r="V8" s="79"/>
      <c r="W8" s="75" t="s">
        <v>64</v>
      </c>
    </row>
    <row r="9" spans="1:24" s="107" customFormat="1" ht="93.75" customHeight="1" x14ac:dyDescent="0.25">
      <c r="A9" s="418">
        <v>1</v>
      </c>
      <c r="B9" s="442" t="s">
        <v>56</v>
      </c>
      <c r="C9" s="427" t="s">
        <v>146</v>
      </c>
      <c r="D9" s="427" t="s">
        <v>147</v>
      </c>
      <c r="E9" s="464" t="s">
        <v>178</v>
      </c>
      <c r="F9" s="421">
        <v>44217</v>
      </c>
      <c r="G9" s="427" t="s">
        <v>179</v>
      </c>
      <c r="H9" s="424">
        <v>21993.040000000001</v>
      </c>
      <c r="I9" s="436">
        <f>IF(X9 = 1, H9 + SUM(S9:S11) - SUM(T9:T11) - SUM(P9:P11) - V9,0)</f>
        <v>5498.260000000002</v>
      </c>
      <c r="J9" s="427" t="s">
        <v>180</v>
      </c>
      <c r="K9" s="427" t="s">
        <v>181</v>
      </c>
      <c r="L9" s="427" t="s">
        <v>146</v>
      </c>
      <c r="M9" s="427" t="s">
        <v>182</v>
      </c>
      <c r="N9" s="350">
        <v>44280</v>
      </c>
      <c r="O9" s="439" t="s">
        <v>144</v>
      </c>
      <c r="P9" s="341">
        <v>5498.26</v>
      </c>
      <c r="Q9" s="342">
        <v>44301</v>
      </c>
      <c r="R9" s="343"/>
      <c r="S9" s="341"/>
      <c r="T9" s="341"/>
      <c r="U9" s="424"/>
      <c r="V9" s="430"/>
      <c r="W9" s="433"/>
      <c r="X9" s="107">
        <v>1</v>
      </c>
    </row>
    <row r="10" spans="1:24" s="142" customFormat="1" x14ac:dyDescent="0.25">
      <c r="A10" s="419"/>
      <c r="B10" s="443"/>
      <c r="C10" s="428"/>
      <c r="D10" s="428"/>
      <c r="E10" s="465"/>
      <c r="F10" s="422"/>
      <c r="G10" s="428"/>
      <c r="H10" s="425"/>
      <c r="I10" s="437"/>
      <c r="J10" s="428"/>
      <c r="K10" s="428"/>
      <c r="L10" s="428"/>
      <c r="M10" s="428"/>
      <c r="N10" s="351">
        <v>44377</v>
      </c>
      <c r="O10" s="440"/>
      <c r="P10" s="344">
        <v>5498.26</v>
      </c>
      <c r="Q10" s="345">
        <v>44384</v>
      </c>
      <c r="R10" s="346"/>
      <c r="S10" s="344"/>
      <c r="T10" s="344"/>
      <c r="U10" s="425"/>
      <c r="V10" s="431"/>
      <c r="W10" s="434"/>
      <c r="X10" s="142">
        <v>1</v>
      </c>
    </row>
    <row r="11" spans="1:24" s="314" customFormat="1" x14ac:dyDescent="0.25">
      <c r="A11" s="420"/>
      <c r="B11" s="444"/>
      <c r="C11" s="429"/>
      <c r="D11" s="429"/>
      <c r="E11" s="466"/>
      <c r="F11" s="423"/>
      <c r="G11" s="429"/>
      <c r="H11" s="426"/>
      <c r="I11" s="438"/>
      <c r="J11" s="429"/>
      <c r="K11" s="429"/>
      <c r="L11" s="429"/>
      <c r="M11" s="429"/>
      <c r="N11" s="352">
        <v>44469</v>
      </c>
      <c r="O11" s="441"/>
      <c r="P11" s="347">
        <v>5498.26</v>
      </c>
      <c r="Q11" s="348">
        <v>44480</v>
      </c>
      <c r="R11" s="349"/>
      <c r="S11" s="347"/>
      <c r="T11" s="347"/>
      <c r="U11" s="426"/>
      <c r="V11" s="432"/>
      <c r="W11" s="435"/>
      <c r="X11" s="314">
        <v>1</v>
      </c>
    </row>
    <row r="12" spans="1:24" s="107" customFormat="1" ht="93.75" customHeight="1" x14ac:dyDescent="0.25">
      <c r="A12" s="511">
        <v>2</v>
      </c>
      <c r="B12" s="517" t="s">
        <v>56</v>
      </c>
      <c r="C12" s="491" t="s">
        <v>146</v>
      </c>
      <c r="D12" s="491" t="s">
        <v>147</v>
      </c>
      <c r="E12" s="494" t="s">
        <v>183</v>
      </c>
      <c r="F12" s="497">
        <v>44217</v>
      </c>
      <c r="G12" s="491" t="s">
        <v>184</v>
      </c>
      <c r="H12" s="500">
        <v>17500</v>
      </c>
      <c r="I12" s="503">
        <f>IF(X12 = 2, H12 + SUM(S12:S15) - SUM(T12:T15) - SUM(P12:P15) - V12,0)</f>
        <v>7500</v>
      </c>
      <c r="J12" s="491" t="s">
        <v>185</v>
      </c>
      <c r="K12" s="491" t="s">
        <v>186</v>
      </c>
      <c r="L12" s="491" t="s">
        <v>146</v>
      </c>
      <c r="M12" s="491" t="s">
        <v>187</v>
      </c>
      <c r="N12" s="181">
        <v>44227</v>
      </c>
      <c r="O12" s="514" t="s">
        <v>144</v>
      </c>
      <c r="P12" s="172">
        <v>2500</v>
      </c>
      <c r="Q12" s="173">
        <v>44257</v>
      </c>
      <c r="R12" s="174"/>
      <c r="S12" s="172"/>
      <c r="T12" s="172"/>
      <c r="U12" s="500"/>
      <c r="V12" s="488"/>
      <c r="W12" s="485"/>
      <c r="X12" s="107">
        <v>2</v>
      </c>
    </row>
    <row r="13" spans="1:24" s="106" customFormat="1" x14ac:dyDescent="0.25">
      <c r="A13" s="512"/>
      <c r="B13" s="518"/>
      <c r="C13" s="492"/>
      <c r="D13" s="492"/>
      <c r="E13" s="495"/>
      <c r="F13" s="498"/>
      <c r="G13" s="492"/>
      <c r="H13" s="501"/>
      <c r="I13" s="504"/>
      <c r="J13" s="492"/>
      <c r="K13" s="492"/>
      <c r="L13" s="492"/>
      <c r="M13" s="492"/>
      <c r="N13" s="182">
        <v>44255</v>
      </c>
      <c r="O13" s="515"/>
      <c r="P13" s="175">
        <v>2500</v>
      </c>
      <c r="Q13" s="176">
        <v>44264</v>
      </c>
      <c r="R13" s="177"/>
      <c r="S13" s="175"/>
      <c r="T13" s="175"/>
      <c r="U13" s="501"/>
      <c r="V13" s="489"/>
      <c r="W13" s="486"/>
      <c r="X13" s="106">
        <v>2</v>
      </c>
    </row>
    <row r="14" spans="1:24" s="142" customFormat="1" x14ac:dyDescent="0.25">
      <c r="A14" s="512"/>
      <c r="B14" s="518"/>
      <c r="C14" s="492"/>
      <c r="D14" s="492"/>
      <c r="E14" s="495"/>
      <c r="F14" s="498"/>
      <c r="G14" s="492"/>
      <c r="H14" s="501"/>
      <c r="I14" s="504"/>
      <c r="J14" s="492"/>
      <c r="K14" s="492"/>
      <c r="L14" s="492"/>
      <c r="M14" s="492"/>
      <c r="N14" s="182">
        <v>44286</v>
      </c>
      <c r="O14" s="515"/>
      <c r="P14" s="175">
        <v>2500</v>
      </c>
      <c r="Q14" s="176">
        <v>44300</v>
      </c>
      <c r="R14" s="177"/>
      <c r="S14" s="175"/>
      <c r="T14" s="175"/>
      <c r="U14" s="501"/>
      <c r="V14" s="489"/>
      <c r="W14" s="486"/>
      <c r="X14" s="142">
        <v>2</v>
      </c>
    </row>
    <row r="15" spans="1:24" s="149" customFormat="1" x14ac:dyDescent="0.25">
      <c r="A15" s="513"/>
      <c r="B15" s="519"/>
      <c r="C15" s="493"/>
      <c r="D15" s="493"/>
      <c r="E15" s="496"/>
      <c r="F15" s="499"/>
      <c r="G15" s="493"/>
      <c r="H15" s="502"/>
      <c r="I15" s="505"/>
      <c r="J15" s="493"/>
      <c r="K15" s="493"/>
      <c r="L15" s="493"/>
      <c r="M15" s="493"/>
      <c r="N15" s="183">
        <v>44316</v>
      </c>
      <c r="O15" s="516"/>
      <c r="P15" s="178">
        <v>2500</v>
      </c>
      <c r="Q15" s="179">
        <v>44330</v>
      </c>
      <c r="R15" s="180"/>
      <c r="S15" s="178"/>
      <c r="T15" s="178"/>
      <c r="U15" s="502"/>
      <c r="V15" s="490"/>
      <c r="W15" s="487"/>
      <c r="X15" s="149">
        <v>2</v>
      </c>
    </row>
    <row r="16" spans="1:24" s="107" customFormat="1" ht="112.5" customHeight="1" x14ac:dyDescent="0.25">
      <c r="A16" s="705">
        <v>3</v>
      </c>
      <c r="B16" s="706" t="s">
        <v>56</v>
      </c>
      <c r="C16" s="707" t="s">
        <v>146</v>
      </c>
      <c r="D16" s="707" t="s">
        <v>147</v>
      </c>
      <c r="E16" s="708" t="s">
        <v>195</v>
      </c>
      <c r="F16" s="744">
        <v>44217</v>
      </c>
      <c r="G16" s="707" t="s">
        <v>196</v>
      </c>
      <c r="H16" s="709">
        <v>181680</v>
      </c>
      <c r="I16" s="710">
        <f>IF(X16 = 3, H16 + SUM(S16:S25) - SUM(T16:T25) - SUM(P16:P25) - V16,0)</f>
        <v>53200</v>
      </c>
      <c r="J16" s="707" t="s">
        <v>197</v>
      </c>
      <c r="K16" s="707" t="s">
        <v>198</v>
      </c>
      <c r="L16" s="707" t="s">
        <v>146</v>
      </c>
      <c r="M16" s="707" t="s">
        <v>199</v>
      </c>
      <c r="N16" s="747">
        <v>44227</v>
      </c>
      <c r="O16" s="750" t="s">
        <v>144</v>
      </c>
      <c r="P16" s="713">
        <v>15000</v>
      </c>
      <c r="Q16" s="714">
        <v>44253</v>
      </c>
      <c r="R16" s="715"/>
      <c r="S16" s="713"/>
      <c r="T16" s="713"/>
      <c r="U16" s="709"/>
      <c r="V16" s="753"/>
      <c r="W16" s="717"/>
      <c r="X16" s="107">
        <v>3</v>
      </c>
    </row>
    <row r="17" spans="1:24" s="106" customFormat="1" x14ac:dyDescent="0.25">
      <c r="A17" s="718"/>
      <c r="B17" s="719"/>
      <c r="C17" s="720"/>
      <c r="D17" s="720"/>
      <c r="E17" s="721"/>
      <c r="F17" s="745"/>
      <c r="G17" s="720"/>
      <c r="H17" s="722"/>
      <c r="I17" s="723"/>
      <c r="J17" s="720"/>
      <c r="K17" s="720"/>
      <c r="L17" s="720"/>
      <c r="M17" s="720"/>
      <c r="N17" s="748">
        <v>44255</v>
      </c>
      <c r="O17" s="751"/>
      <c r="P17" s="726">
        <v>14320</v>
      </c>
      <c r="Q17" s="727">
        <v>44260</v>
      </c>
      <c r="R17" s="728"/>
      <c r="S17" s="726"/>
      <c r="T17" s="726"/>
      <c r="U17" s="722"/>
      <c r="V17" s="754"/>
      <c r="W17" s="730"/>
      <c r="X17" s="106">
        <v>3</v>
      </c>
    </row>
    <row r="18" spans="1:24" s="142" customFormat="1" x14ac:dyDescent="0.25">
      <c r="A18" s="718"/>
      <c r="B18" s="719"/>
      <c r="C18" s="720"/>
      <c r="D18" s="720"/>
      <c r="E18" s="721"/>
      <c r="F18" s="745"/>
      <c r="G18" s="720"/>
      <c r="H18" s="722"/>
      <c r="I18" s="723"/>
      <c r="J18" s="720"/>
      <c r="K18" s="720"/>
      <c r="L18" s="720"/>
      <c r="M18" s="720"/>
      <c r="N18" s="748">
        <v>44286</v>
      </c>
      <c r="O18" s="751"/>
      <c r="P18" s="726">
        <v>14900</v>
      </c>
      <c r="Q18" s="727">
        <v>44295</v>
      </c>
      <c r="R18" s="728"/>
      <c r="S18" s="726"/>
      <c r="T18" s="726"/>
      <c r="U18" s="722"/>
      <c r="V18" s="754"/>
      <c r="W18" s="730"/>
      <c r="X18" s="142">
        <v>3</v>
      </c>
    </row>
    <row r="19" spans="1:24" s="149" customFormat="1" x14ac:dyDescent="0.25">
      <c r="A19" s="718"/>
      <c r="B19" s="719"/>
      <c r="C19" s="720"/>
      <c r="D19" s="720"/>
      <c r="E19" s="721"/>
      <c r="F19" s="745"/>
      <c r="G19" s="720"/>
      <c r="H19" s="722"/>
      <c r="I19" s="723"/>
      <c r="J19" s="720"/>
      <c r="K19" s="720"/>
      <c r="L19" s="720"/>
      <c r="M19" s="720"/>
      <c r="N19" s="748">
        <v>44316</v>
      </c>
      <c r="O19" s="751"/>
      <c r="P19" s="726">
        <v>15460</v>
      </c>
      <c r="Q19" s="727">
        <v>44328</v>
      </c>
      <c r="R19" s="728"/>
      <c r="S19" s="726"/>
      <c r="T19" s="726"/>
      <c r="U19" s="722"/>
      <c r="V19" s="754"/>
      <c r="W19" s="730"/>
      <c r="X19" s="149">
        <v>3</v>
      </c>
    </row>
    <row r="20" spans="1:24" s="210" customFormat="1" x14ac:dyDescent="0.25">
      <c r="A20" s="718"/>
      <c r="B20" s="719"/>
      <c r="C20" s="720"/>
      <c r="D20" s="720"/>
      <c r="E20" s="721"/>
      <c r="F20" s="745"/>
      <c r="G20" s="720"/>
      <c r="H20" s="722"/>
      <c r="I20" s="723"/>
      <c r="J20" s="720"/>
      <c r="K20" s="720"/>
      <c r="L20" s="720"/>
      <c r="M20" s="720"/>
      <c r="N20" s="748">
        <v>44347</v>
      </c>
      <c r="O20" s="751"/>
      <c r="P20" s="726">
        <v>11940</v>
      </c>
      <c r="Q20" s="727">
        <v>44357</v>
      </c>
      <c r="R20" s="728"/>
      <c r="S20" s="726"/>
      <c r="T20" s="726"/>
      <c r="U20" s="722"/>
      <c r="V20" s="754"/>
      <c r="W20" s="730"/>
      <c r="X20" s="210">
        <v>3</v>
      </c>
    </row>
    <row r="21" spans="1:24" s="212" customFormat="1" x14ac:dyDescent="0.25">
      <c r="A21" s="718"/>
      <c r="B21" s="719"/>
      <c r="C21" s="720"/>
      <c r="D21" s="720"/>
      <c r="E21" s="721"/>
      <c r="F21" s="745"/>
      <c r="G21" s="720"/>
      <c r="H21" s="722"/>
      <c r="I21" s="723"/>
      <c r="J21" s="720"/>
      <c r="K21" s="720"/>
      <c r="L21" s="720"/>
      <c r="M21" s="720"/>
      <c r="N21" s="748">
        <v>44377</v>
      </c>
      <c r="O21" s="751"/>
      <c r="P21" s="726">
        <v>10620</v>
      </c>
      <c r="Q21" s="727">
        <v>44389</v>
      </c>
      <c r="R21" s="728"/>
      <c r="S21" s="726"/>
      <c r="T21" s="726"/>
      <c r="U21" s="722"/>
      <c r="V21" s="754"/>
      <c r="W21" s="730"/>
      <c r="X21" s="212">
        <v>3</v>
      </c>
    </row>
    <row r="22" spans="1:24" s="273" customFormat="1" x14ac:dyDescent="0.25">
      <c r="A22" s="718"/>
      <c r="B22" s="719"/>
      <c r="C22" s="720"/>
      <c r="D22" s="720"/>
      <c r="E22" s="721"/>
      <c r="F22" s="745"/>
      <c r="G22" s="720"/>
      <c r="H22" s="722"/>
      <c r="I22" s="723"/>
      <c r="J22" s="720"/>
      <c r="K22" s="720"/>
      <c r="L22" s="720"/>
      <c r="M22" s="720"/>
      <c r="N22" s="748">
        <v>44408</v>
      </c>
      <c r="O22" s="751"/>
      <c r="P22" s="726">
        <v>10380</v>
      </c>
      <c r="Q22" s="727">
        <v>44439</v>
      </c>
      <c r="R22" s="728"/>
      <c r="S22" s="726"/>
      <c r="T22" s="726"/>
      <c r="U22" s="722"/>
      <c r="V22" s="754"/>
      <c r="W22" s="730"/>
      <c r="X22" s="273">
        <v>3</v>
      </c>
    </row>
    <row r="23" spans="1:24" s="281" customFormat="1" x14ac:dyDescent="0.25">
      <c r="A23" s="718"/>
      <c r="B23" s="719"/>
      <c r="C23" s="720"/>
      <c r="D23" s="720"/>
      <c r="E23" s="721"/>
      <c r="F23" s="745"/>
      <c r="G23" s="720"/>
      <c r="H23" s="722"/>
      <c r="I23" s="723"/>
      <c r="J23" s="720"/>
      <c r="K23" s="720"/>
      <c r="L23" s="720"/>
      <c r="M23" s="720"/>
      <c r="N23" s="748">
        <v>44439</v>
      </c>
      <c r="O23" s="751"/>
      <c r="P23" s="726">
        <v>9400</v>
      </c>
      <c r="Q23" s="727">
        <v>44446</v>
      </c>
      <c r="R23" s="728"/>
      <c r="S23" s="726"/>
      <c r="T23" s="726"/>
      <c r="U23" s="722"/>
      <c r="V23" s="754"/>
      <c r="W23" s="730"/>
      <c r="X23" s="281">
        <v>3</v>
      </c>
    </row>
    <row r="24" spans="1:24" s="293" customFormat="1" x14ac:dyDescent="0.25">
      <c r="A24" s="718"/>
      <c r="B24" s="719"/>
      <c r="C24" s="720"/>
      <c r="D24" s="720"/>
      <c r="E24" s="721"/>
      <c r="F24" s="745"/>
      <c r="G24" s="720"/>
      <c r="H24" s="722"/>
      <c r="I24" s="723"/>
      <c r="J24" s="720"/>
      <c r="K24" s="720"/>
      <c r="L24" s="720"/>
      <c r="M24" s="720"/>
      <c r="N24" s="748">
        <v>44469</v>
      </c>
      <c r="O24" s="751"/>
      <c r="P24" s="726">
        <v>16560</v>
      </c>
      <c r="Q24" s="727">
        <v>44476</v>
      </c>
      <c r="R24" s="728"/>
      <c r="S24" s="726"/>
      <c r="T24" s="726"/>
      <c r="U24" s="722"/>
      <c r="V24" s="754"/>
      <c r="W24" s="730"/>
      <c r="X24" s="293">
        <v>3</v>
      </c>
    </row>
    <row r="25" spans="1:24" s="359" customFormat="1" x14ac:dyDescent="0.25">
      <c r="A25" s="731"/>
      <c r="B25" s="732"/>
      <c r="C25" s="733"/>
      <c r="D25" s="733"/>
      <c r="E25" s="734"/>
      <c r="F25" s="746"/>
      <c r="G25" s="733"/>
      <c r="H25" s="735"/>
      <c r="I25" s="736"/>
      <c r="J25" s="733"/>
      <c r="K25" s="733"/>
      <c r="L25" s="733"/>
      <c r="M25" s="733"/>
      <c r="N25" s="749">
        <v>44500</v>
      </c>
      <c r="O25" s="752"/>
      <c r="P25" s="739">
        <v>9900</v>
      </c>
      <c r="Q25" s="740">
        <v>44510</v>
      </c>
      <c r="R25" s="741"/>
      <c r="S25" s="739"/>
      <c r="T25" s="739"/>
      <c r="U25" s="735"/>
      <c r="V25" s="755"/>
      <c r="W25" s="743"/>
      <c r="X25" s="359">
        <v>3</v>
      </c>
    </row>
    <row r="26" spans="1:24" s="107" customFormat="1" ht="93.75" x14ac:dyDescent="0.25">
      <c r="A26" s="108">
        <v>4</v>
      </c>
      <c r="B26" s="139" t="s">
        <v>56</v>
      </c>
      <c r="C26" s="110" t="s">
        <v>146</v>
      </c>
      <c r="D26" s="110" t="s">
        <v>147</v>
      </c>
      <c r="E26" s="111" t="s">
        <v>209</v>
      </c>
      <c r="F26" s="115">
        <v>44218</v>
      </c>
      <c r="G26" s="110" t="s">
        <v>210</v>
      </c>
      <c r="H26" s="113">
        <v>12680</v>
      </c>
      <c r="I26" s="109">
        <f>IF(X26 = 4, H26 + SUM(S26:S26) - SUM(T26:T26) - SUM(P26:P26) - V26,0)</f>
        <v>0</v>
      </c>
      <c r="J26" s="110" t="s">
        <v>197</v>
      </c>
      <c r="K26" s="110" t="s">
        <v>198</v>
      </c>
      <c r="L26" s="110" t="s">
        <v>146</v>
      </c>
      <c r="M26" s="110" t="s">
        <v>211</v>
      </c>
      <c r="N26" s="115">
        <v>44244</v>
      </c>
      <c r="O26" s="139" t="s">
        <v>144</v>
      </c>
      <c r="P26" s="113">
        <v>12680</v>
      </c>
      <c r="Q26" s="111">
        <v>44244</v>
      </c>
      <c r="R26" s="110"/>
      <c r="S26" s="113"/>
      <c r="T26" s="113"/>
      <c r="U26" s="113"/>
      <c r="V26" s="112"/>
      <c r="W26" s="114"/>
      <c r="X26" s="107">
        <v>4</v>
      </c>
    </row>
    <row r="27" spans="1:24" s="107" customFormat="1" ht="93.75" x14ac:dyDescent="0.25">
      <c r="A27" s="108">
        <v>5</v>
      </c>
      <c r="B27" s="139" t="s">
        <v>56</v>
      </c>
      <c r="C27" s="110" t="s">
        <v>146</v>
      </c>
      <c r="D27" s="110" t="s">
        <v>147</v>
      </c>
      <c r="E27" s="111" t="s">
        <v>216</v>
      </c>
      <c r="F27" s="115">
        <v>44228</v>
      </c>
      <c r="G27" s="110" t="s">
        <v>215</v>
      </c>
      <c r="H27" s="113">
        <v>2500</v>
      </c>
      <c r="I27" s="109">
        <f>IF(X27 = 5, H27 + SUM(S27:S27) - SUM(T27:T27) - SUM(P27:P27) - V27,0)</f>
        <v>0</v>
      </c>
      <c r="J27" s="110" t="s">
        <v>214</v>
      </c>
      <c r="K27" s="110" t="s">
        <v>213</v>
      </c>
      <c r="L27" s="110" t="s">
        <v>146</v>
      </c>
      <c r="M27" s="110" t="s">
        <v>212</v>
      </c>
      <c r="N27" s="115">
        <v>44270</v>
      </c>
      <c r="O27" s="139" t="s">
        <v>144</v>
      </c>
      <c r="P27" s="113">
        <v>2500</v>
      </c>
      <c r="Q27" s="111">
        <v>44287</v>
      </c>
      <c r="R27" s="110"/>
      <c r="S27" s="113"/>
      <c r="T27" s="113"/>
      <c r="U27" s="113"/>
      <c r="V27" s="112"/>
      <c r="W27" s="114"/>
      <c r="X27" s="107">
        <v>5</v>
      </c>
    </row>
    <row r="28" spans="1:24" s="107" customFormat="1" ht="93.75" customHeight="1" x14ac:dyDescent="0.25">
      <c r="A28" s="538">
        <v>6</v>
      </c>
      <c r="B28" s="544" t="s">
        <v>56</v>
      </c>
      <c r="C28" s="470" t="s">
        <v>146</v>
      </c>
      <c r="D28" s="470" t="s">
        <v>147</v>
      </c>
      <c r="E28" s="473" t="s">
        <v>149</v>
      </c>
      <c r="F28" s="476">
        <v>44217</v>
      </c>
      <c r="G28" s="470" t="s">
        <v>217</v>
      </c>
      <c r="H28" s="479">
        <v>16038</v>
      </c>
      <c r="I28" s="482">
        <f>IF(X28 = 6, H28 + SUM(S28:S42) - SUM(T28:T42) - SUM(P28:P42) - V28,0)</f>
        <v>0</v>
      </c>
      <c r="J28" s="470" t="s">
        <v>218</v>
      </c>
      <c r="K28" s="470" t="s">
        <v>219</v>
      </c>
      <c r="L28" s="470" t="s">
        <v>146</v>
      </c>
      <c r="M28" s="470" t="s">
        <v>220</v>
      </c>
      <c r="N28" s="229">
        <v>44224</v>
      </c>
      <c r="O28" s="541" t="s">
        <v>144</v>
      </c>
      <c r="P28" s="213">
        <v>2524.5</v>
      </c>
      <c r="Q28" s="214">
        <v>44236</v>
      </c>
      <c r="R28" s="215"/>
      <c r="S28" s="213"/>
      <c r="T28" s="213"/>
      <c r="U28" s="479"/>
      <c r="V28" s="461">
        <v>2029.5</v>
      </c>
      <c r="W28" s="467"/>
      <c r="X28" s="107">
        <v>6</v>
      </c>
    </row>
    <row r="29" spans="1:24" s="106" customFormat="1" x14ac:dyDescent="0.25">
      <c r="A29" s="539"/>
      <c r="B29" s="545"/>
      <c r="C29" s="471"/>
      <c r="D29" s="471"/>
      <c r="E29" s="474"/>
      <c r="F29" s="477"/>
      <c r="G29" s="471"/>
      <c r="H29" s="480"/>
      <c r="I29" s="483"/>
      <c r="J29" s="471"/>
      <c r="K29" s="471"/>
      <c r="L29" s="471"/>
      <c r="M29" s="471"/>
      <c r="N29" s="230">
        <v>44231</v>
      </c>
      <c r="O29" s="542"/>
      <c r="P29" s="216">
        <v>825</v>
      </c>
      <c r="Q29" s="217">
        <v>44251</v>
      </c>
      <c r="R29" s="218"/>
      <c r="S29" s="216"/>
      <c r="T29" s="216"/>
      <c r="U29" s="480"/>
      <c r="V29" s="462"/>
      <c r="W29" s="468"/>
      <c r="X29" s="106">
        <v>6</v>
      </c>
    </row>
    <row r="30" spans="1:24" s="106" customFormat="1" x14ac:dyDescent="0.25">
      <c r="A30" s="539"/>
      <c r="B30" s="545"/>
      <c r="C30" s="471"/>
      <c r="D30" s="471"/>
      <c r="E30" s="474"/>
      <c r="F30" s="477"/>
      <c r="G30" s="471"/>
      <c r="H30" s="480"/>
      <c r="I30" s="483"/>
      <c r="J30" s="471"/>
      <c r="K30" s="471"/>
      <c r="L30" s="471"/>
      <c r="M30" s="471"/>
      <c r="N30" s="230">
        <v>44238</v>
      </c>
      <c r="O30" s="542"/>
      <c r="P30" s="216">
        <v>808.5</v>
      </c>
      <c r="Q30" s="217">
        <v>44251</v>
      </c>
      <c r="R30" s="218"/>
      <c r="S30" s="216"/>
      <c r="T30" s="216"/>
      <c r="U30" s="480"/>
      <c r="V30" s="462"/>
      <c r="W30" s="468"/>
      <c r="X30" s="106">
        <v>6</v>
      </c>
    </row>
    <row r="31" spans="1:24" s="106" customFormat="1" x14ac:dyDescent="0.25">
      <c r="A31" s="539"/>
      <c r="B31" s="545"/>
      <c r="C31" s="471"/>
      <c r="D31" s="471"/>
      <c r="E31" s="474"/>
      <c r="F31" s="477"/>
      <c r="G31" s="471"/>
      <c r="H31" s="480"/>
      <c r="I31" s="483"/>
      <c r="J31" s="471"/>
      <c r="K31" s="471"/>
      <c r="L31" s="471"/>
      <c r="M31" s="471"/>
      <c r="N31" s="230">
        <v>44245</v>
      </c>
      <c r="O31" s="542"/>
      <c r="P31" s="216">
        <v>825</v>
      </c>
      <c r="Q31" s="217">
        <v>44267</v>
      </c>
      <c r="R31" s="218"/>
      <c r="S31" s="216"/>
      <c r="T31" s="216"/>
      <c r="U31" s="480"/>
      <c r="V31" s="462"/>
      <c r="W31" s="468"/>
      <c r="X31" s="106">
        <v>6</v>
      </c>
    </row>
    <row r="32" spans="1:24" s="106" customFormat="1" x14ac:dyDescent="0.25">
      <c r="A32" s="539"/>
      <c r="B32" s="545"/>
      <c r="C32" s="471"/>
      <c r="D32" s="471"/>
      <c r="E32" s="474"/>
      <c r="F32" s="477"/>
      <c r="G32" s="471"/>
      <c r="H32" s="480"/>
      <c r="I32" s="483"/>
      <c r="J32" s="471"/>
      <c r="K32" s="471"/>
      <c r="L32" s="471"/>
      <c r="M32" s="471"/>
      <c r="N32" s="230">
        <v>44252</v>
      </c>
      <c r="O32" s="542"/>
      <c r="P32" s="216">
        <v>825</v>
      </c>
      <c r="Q32" s="217">
        <v>44267</v>
      </c>
      <c r="R32" s="218"/>
      <c r="S32" s="216"/>
      <c r="T32" s="216"/>
      <c r="U32" s="480"/>
      <c r="V32" s="462"/>
      <c r="W32" s="468"/>
      <c r="X32" s="106">
        <v>6</v>
      </c>
    </row>
    <row r="33" spans="1:24" s="106" customFormat="1" x14ac:dyDescent="0.25">
      <c r="A33" s="539"/>
      <c r="B33" s="545"/>
      <c r="C33" s="471"/>
      <c r="D33" s="471"/>
      <c r="E33" s="474"/>
      <c r="F33" s="477"/>
      <c r="G33" s="471"/>
      <c r="H33" s="480"/>
      <c r="I33" s="483"/>
      <c r="J33" s="471"/>
      <c r="K33" s="471"/>
      <c r="L33" s="471"/>
      <c r="M33" s="471"/>
      <c r="N33" s="230">
        <v>44259</v>
      </c>
      <c r="O33" s="542"/>
      <c r="P33" s="216">
        <v>841.5</v>
      </c>
      <c r="Q33" s="217">
        <v>44294</v>
      </c>
      <c r="R33" s="218"/>
      <c r="S33" s="216"/>
      <c r="T33" s="216"/>
      <c r="U33" s="480"/>
      <c r="V33" s="462"/>
      <c r="W33" s="468"/>
      <c r="X33" s="106">
        <v>6</v>
      </c>
    </row>
    <row r="34" spans="1:24" s="142" customFormat="1" x14ac:dyDescent="0.25">
      <c r="A34" s="539"/>
      <c r="B34" s="545"/>
      <c r="C34" s="471"/>
      <c r="D34" s="471"/>
      <c r="E34" s="474"/>
      <c r="F34" s="477"/>
      <c r="G34" s="471"/>
      <c r="H34" s="480"/>
      <c r="I34" s="483"/>
      <c r="J34" s="471"/>
      <c r="K34" s="471"/>
      <c r="L34" s="471"/>
      <c r="M34" s="471"/>
      <c r="N34" s="230">
        <v>44266</v>
      </c>
      <c r="O34" s="542"/>
      <c r="P34" s="216">
        <v>808.5</v>
      </c>
      <c r="Q34" s="217">
        <v>44294</v>
      </c>
      <c r="R34" s="218"/>
      <c r="S34" s="216"/>
      <c r="T34" s="216"/>
      <c r="U34" s="480"/>
      <c r="V34" s="462"/>
      <c r="W34" s="468"/>
      <c r="X34" s="142">
        <v>6</v>
      </c>
    </row>
    <row r="35" spans="1:24" s="142" customFormat="1" x14ac:dyDescent="0.25">
      <c r="A35" s="539"/>
      <c r="B35" s="545"/>
      <c r="C35" s="471"/>
      <c r="D35" s="471"/>
      <c r="E35" s="474"/>
      <c r="F35" s="477"/>
      <c r="G35" s="471"/>
      <c r="H35" s="480"/>
      <c r="I35" s="483"/>
      <c r="J35" s="471"/>
      <c r="K35" s="471"/>
      <c r="L35" s="471"/>
      <c r="M35" s="471"/>
      <c r="N35" s="230">
        <v>44273</v>
      </c>
      <c r="O35" s="542"/>
      <c r="P35" s="216">
        <v>808.5</v>
      </c>
      <c r="Q35" s="217">
        <v>44294</v>
      </c>
      <c r="R35" s="218"/>
      <c r="S35" s="216"/>
      <c r="T35" s="216"/>
      <c r="U35" s="480"/>
      <c r="V35" s="462"/>
      <c r="W35" s="468"/>
      <c r="X35" s="142">
        <v>6</v>
      </c>
    </row>
    <row r="36" spans="1:24" s="142" customFormat="1" x14ac:dyDescent="0.25">
      <c r="A36" s="539"/>
      <c r="B36" s="545"/>
      <c r="C36" s="471"/>
      <c r="D36" s="471"/>
      <c r="E36" s="474"/>
      <c r="F36" s="477"/>
      <c r="G36" s="471"/>
      <c r="H36" s="480"/>
      <c r="I36" s="483"/>
      <c r="J36" s="471"/>
      <c r="K36" s="471"/>
      <c r="L36" s="471"/>
      <c r="M36" s="471"/>
      <c r="N36" s="230">
        <v>44287</v>
      </c>
      <c r="O36" s="542"/>
      <c r="P36" s="216">
        <v>841.5</v>
      </c>
      <c r="Q36" s="217">
        <v>44309</v>
      </c>
      <c r="R36" s="218"/>
      <c r="S36" s="216"/>
      <c r="T36" s="216"/>
      <c r="U36" s="480"/>
      <c r="V36" s="462"/>
      <c r="W36" s="468"/>
      <c r="X36" s="142">
        <v>6</v>
      </c>
    </row>
    <row r="37" spans="1:24" s="142" customFormat="1" x14ac:dyDescent="0.25">
      <c r="A37" s="539"/>
      <c r="B37" s="545"/>
      <c r="C37" s="471"/>
      <c r="D37" s="471"/>
      <c r="E37" s="474"/>
      <c r="F37" s="477"/>
      <c r="G37" s="471"/>
      <c r="H37" s="480"/>
      <c r="I37" s="483"/>
      <c r="J37" s="471"/>
      <c r="K37" s="471"/>
      <c r="L37" s="471"/>
      <c r="M37" s="471"/>
      <c r="N37" s="230">
        <v>44294</v>
      </c>
      <c r="O37" s="542"/>
      <c r="P37" s="216">
        <v>808.5</v>
      </c>
      <c r="Q37" s="217">
        <v>44309</v>
      </c>
      <c r="R37" s="218"/>
      <c r="S37" s="216"/>
      <c r="T37" s="216"/>
      <c r="U37" s="480"/>
      <c r="V37" s="462"/>
      <c r="W37" s="468"/>
      <c r="X37" s="142">
        <v>6</v>
      </c>
    </row>
    <row r="38" spans="1:24" s="142" customFormat="1" x14ac:dyDescent="0.25">
      <c r="A38" s="539"/>
      <c r="B38" s="545"/>
      <c r="C38" s="471"/>
      <c r="D38" s="471"/>
      <c r="E38" s="474"/>
      <c r="F38" s="477"/>
      <c r="G38" s="471"/>
      <c r="H38" s="480"/>
      <c r="I38" s="483"/>
      <c r="J38" s="471"/>
      <c r="K38" s="471"/>
      <c r="L38" s="471"/>
      <c r="M38" s="471"/>
      <c r="N38" s="230">
        <v>44301</v>
      </c>
      <c r="O38" s="542"/>
      <c r="P38" s="216">
        <v>825</v>
      </c>
      <c r="Q38" s="217">
        <v>44313</v>
      </c>
      <c r="R38" s="218"/>
      <c r="S38" s="216"/>
      <c r="T38" s="216"/>
      <c r="U38" s="480"/>
      <c r="V38" s="462"/>
      <c r="W38" s="468"/>
      <c r="X38" s="142">
        <v>6</v>
      </c>
    </row>
    <row r="39" spans="1:24" s="142" customFormat="1" x14ac:dyDescent="0.25">
      <c r="A39" s="539"/>
      <c r="B39" s="545"/>
      <c r="C39" s="471"/>
      <c r="D39" s="471"/>
      <c r="E39" s="474"/>
      <c r="F39" s="477"/>
      <c r="G39" s="471"/>
      <c r="H39" s="480"/>
      <c r="I39" s="483"/>
      <c r="J39" s="471"/>
      <c r="K39" s="471"/>
      <c r="L39" s="471"/>
      <c r="M39" s="471"/>
      <c r="N39" s="230">
        <v>44308</v>
      </c>
      <c r="O39" s="542"/>
      <c r="P39" s="216">
        <v>792</v>
      </c>
      <c r="Q39" s="217">
        <v>44313</v>
      </c>
      <c r="R39" s="218"/>
      <c r="S39" s="216"/>
      <c r="T39" s="216"/>
      <c r="U39" s="480"/>
      <c r="V39" s="462"/>
      <c r="W39" s="468"/>
      <c r="X39" s="142">
        <v>6</v>
      </c>
    </row>
    <row r="40" spans="1:24" s="149" customFormat="1" x14ac:dyDescent="0.25">
      <c r="A40" s="539"/>
      <c r="B40" s="545"/>
      <c r="C40" s="471"/>
      <c r="D40" s="471"/>
      <c r="E40" s="474"/>
      <c r="F40" s="477"/>
      <c r="G40" s="471"/>
      <c r="H40" s="480"/>
      <c r="I40" s="483"/>
      <c r="J40" s="471"/>
      <c r="K40" s="471"/>
      <c r="L40" s="471"/>
      <c r="M40" s="471"/>
      <c r="N40" s="230">
        <v>44315</v>
      </c>
      <c r="O40" s="542"/>
      <c r="P40" s="216">
        <v>841.5</v>
      </c>
      <c r="Q40" s="217">
        <v>44335</v>
      </c>
      <c r="R40" s="218"/>
      <c r="S40" s="216"/>
      <c r="T40" s="216"/>
      <c r="U40" s="480"/>
      <c r="V40" s="462"/>
      <c r="W40" s="468"/>
      <c r="X40" s="149">
        <v>6</v>
      </c>
    </row>
    <row r="41" spans="1:24" s="210" customFormat="1" x14ac:dyDescent="0.25">
      <c r="A41" s="539"/>
      <c r="B41" s="545"/>
      <c r="C41" s="471"/>
      <c r="D41" s="471"/>
      <c r="E41" s="474"/>
      <c r="F41" s="477"/>
      <c r="G41" s="471"/>
      <c r="H41" s="480"/>
      <c r="I41" s="483"/>
      <c r="J41" s="471"/>
      <c r="K41" s="471"/>
      <c r="L41" s="471"/>
      <c r="M41" s="471"/>
      <c r="N41" s="230">
        <v>44329</v>
      </c>
      <c r="O41" s="542"/>
      <c r="P41" s="216">
        <v>792</v>
      </c>
      <c r="Q41" s="217">
        <v>44348</v>
      </c>
      <c r="R41" s="218"/>
      <c r="S41" s="216"/>
      <c r="T41" s="216"/>
      <c r="U41" s="480"/>
      <c r="V41" s="462"/>
      <c r="W41" s="468"/>
      <c r="X41" s="210">
        <v>6</v>
      </c>
    </row>
    <row r="42" spans="1:24" s="210" customFormat="1" x14ac:dyDescent="0.25">
      <c r="A42" s="540"/>
      <c r="B42" s="546"/>
      <c r="C42" s="472"/>
      <c r="D42" s="472"/>
      <c r="E42" s="475"/>
      <c r="F42" s="478"/>
      <c r="G42" s="472"/>
      <c r="H42" s="481"/>
      <c r="I42" s="484"/>
      <c r="J42" s="472"/>
      <c r="K42" s="472"/>
      <c r="L42" s="472"/>
      <c r="M42" s="472"/>
      <c r="N42" s="231">
        <v>44336</v>
      </c>
      <c r="O42" s="543"/>
      <c r="P42" s="224">
        <v>841.5</v>
      </c>
      <c r="Q42" s="225">
        <v>44348</v>
      </c>
      <c r="R42" s="226"/>
      <c r="S42" s="224"/>
      <c r="T42" s="224"/>
      <c r="U42" s="481"/>
      <c r="V42" s="463"/>
      <c r="W42" s="469"/>
      <c r="X42" s="210">
        <v>6</v>
      </c>
    </row>
    <row r="43" spans="1:24" s="107" customFormat="1" ht="93.75" customHeight="1" x14ac:dyDescent="0.25">
      <c r="A43" s="705">
        <v>7</v>
      </c>
      <c r="B43" s="706" t="s">
        <v>56</v>
      </c>
      <c r="C43" s="707" t="s">
        <v>146</v>
      </c>
      <c r="D43" s="707" t="s">
        <v>147</v>
      </c>
      <c r="E43" s="708" t="s">
        <v>225</v>
      </c>
      <c r="F43" s="744">
        <v>44217</v>
      </c>
      <c r="G43" s="707" t="s">
        <v>224</v>
      </c>
      <c r="H43" s="709">
        <v>24000</v>
      </c>
      <c r="I43" s="710">
        <f>IF(X43 = 7, H43 + SUM(S43:S52) - SUM(T43:T52) - SUM(P43:P52) - V43,0)</f>
        <v>4000</v>
      </c>
      <c r="J43" s="707" t="s">
        <v>223</v>
      </c>
      <c r="K43" s="707" t="s">
        <v>222</v>
      </c>
      <c r="L43" s="707" t="s">
        <v>146</v>
      </c>
      <c r="M43" s="707" t="s">
        <v>221</v>
      </c>
      <c r="N43" s="747">
        <v>44227</v>
      </c>
      <c r="O43" s="750" t="s">
        <v>144</v>
      </c>
      <c r="P43" s="713">
        <v>2000</v>
      </c>
      <c r="Q43" s="714">
        <v>44236</v>
      </c>
      <c r="R43" s="715"/>
      <c r="S43" s="713"/>
      <c r="T43" s="713"/>
      <c r="U43" s="709"/>
      <c r="V43" s="753"/>
      <c r="W43" s="717"/>
      <c r="X43" s="107">
        <v>7</v>
      </c>
    </row>
    <row r="44" spans="1:24" s="116" customFormat="1" x14ac:dyDescent="0.25">
      <c r="A44" s="718"/>
      <c r="B44" s="719"/>
      <c r="C44" s="720"/>
      <c r="D44" s="720"/>
      <c r="E44" s="721"/>
      <c r="F44" s="745"/>
      <c r="G44" s="720"/>
      <c r="H44" s="722"/>
      <c r="I44" s="723"/>
      <c r="J44" s="720"/>
      <c r="K44" s="720"/>
      <c r="L44" s="720"/>
      <c r="M44" s="720"/>
      <c r="N44" s="748">
        <v>44255</v>
      </c>
      <c r="O44" s="751"/>
      <c r="P44" s="726">
        <v>2000</v>
      </c>
      <c r="Q44" s="727">
        <v>44264</v>
      </c>
      <c r="R44" s="728"/>
      <c r="S44" s="726"/>
      <c r="T44" s="726"/>
      <c r="U44" s="722"/>
      <c r="V44" s="754"/>
      <c r="W44" s="730"/>
      <c r="X44" s="116">
        <v>7</v>
      </c>
    </row>
    <row r="45" spans="1:24" s="142" customFormat="1" x14ac:dyDescent="0.25">
      <c r="A45" s="718"/>
      <c r="B45" s="719"/>
      <c r="C45" s="720"/>
      <c r="D45" s="720"/>
      <c r="E45" s="721"/>
      <c r="F45" s="745"/>
      <c r="G45" s="720"/>
      <c r="H45" s="722"/>
      <c r="I45" s="723"/>
      <c r="J45" s="720"/>
      <c r="K45" s="720"/>
      <c r="L45" s="720"/>
      <c r="M45" s="720"/>
      <c r="N45" s="748">
        <v>44286</v>
      </c>
      <c r="O45" s="751"/>
      <c r="P45" s="726">
        <v>2000</v>
      </c>
      <c r="Q45" s="727">
        <v>44287</v>
      </c>
      <c r="R45" s="728"/>
      <c r="S45" s="726"/>
      <c r="T45" s="726"/>
      <c r="U45" s="722"/>
      <c r="V45" s="754"/>
      <c r="W45" s="730"/>
      <c r="X45" s="142">
        <v>7</v>
      </c>
    </row>
    <row r="46" spans="1:24" s="142" customFormat="1" x14ac:dyDescent="0.25">
      <c r="A46" s="718"/>
      <c r="B46" s="719"/>
      <c r="C46" s="720"/>
      <c r="D46" s="720"/>
      <c r="E46" s="721"/>
      <c r="F46" s="745"/>
      <c r="G46" s="720"/>
      <c r="H46" s="722"/>
      <c r="I46" s="723"/>
      <c r="J46" s="720"/>
      <c r="K46" s="720"/>
      <c r="L46" s="720"/>
      <c r="M46" s="720"/>
      <c r="N46" s="748">
        <v>44307</v>
      </c>
      <c r="O46" s="751"/>
      <c r="P46" s="726">
        <v>2000</v>
      </c>
      <c r="Q46" s="727">
        <v>44313</v>
      </c>
      <c r="R46" s="728"/>
      <c r="S46" s="726"/>
      <c r="T46" s="726"/>
      <c r="U46" s="722"/>
      <c r="V46" s="754"/>
      <c r="W46" s="730"/>
      <c r="X46" s="142">
        <v>7</v>
      </c>
    </row>
    <row r="47" spans="1:24" s="149" customFormat="1" x14ac:dyDescent="0.25">
      <c r="A47" s="718"/>
      <c r="B47" s="719"/>
      <c r="C47" s="720"/>
      <c r="D47" s="720"/>
      <c r="E47" s="721"/>
      <c r="F47" s="745"/>
      <c r="G47" s="720"/>
      <c r="H47" s="722"/>
      <c r="I47" s="723"/>
      <c r="J47" s="720"/>
      <c r="K47" s="720"/>
      <c r="L47" s="720"/>
      <c r="M47" s="720"/>
      <c r="N47" s="748">
        <v>44337</v>
      </c>
      <c r="O47" s="751"/>
      <c r="P47" s="726">
        <v>2000</v>
      </c>
      <c r="Q47" s="727">
        <v>44344</v>
      </c>
      <c r="R47" s="728"/>
      <c r="S47" s="726"/>
      <c r="T47" s="726"/>
      <c r="U47" s="722"/>
      <c r="V47" s="754"/>
      <c r="W47" s="730"/>
      <c r="X47" s="149">
        <v>7</v>
      </c>
    </row>
    <row r="48" spans="1:24" s="149" customFormat="1" x14ac:dyDescent="0.25">
      <c r="A48" s="718"/>
      <c r="B48" s="719"/>
      <c r="C48" s="720"/>
      <c r="D48" s="720"/>
      <c r="E48" s="721"/>
      <c r="F48" s="745"/>
      <c r="G48" s="720"/>
      <c r="H48" s="722"/>
      <c r="I48" s="723"/>
      <c r="J48" s="720"/>
      <c r="K48" s="720"/>
      <c r="L48" s="720"/>
      <c r="M48" s="720"/>
      <c r="N48" s="748">
        <v>44368</v>
      </c>
      <c r="O48" s="751"/>
      <c r="P48" s="726">
        <v>2000</v>
      </c>
      <c r="Q48" s="727">
        <v>44384</v>
      </c>
      <c r="R48" s="728"/>
      <c r="S48" s="726"/>
      <c r="T48" s="726"/>
      <c r="U48" s="722"/>
      <c r="V48" s="754"/>
      <c r="W48" s="730"/>
      <c r="X48" s="149">
        <v>7</v>
      </c>
    </row>
    <row r="49" spans="1:24" s="252" customFormat="1" x14ac:dyDescent="0.25">
      <c r="A49" s="718"/>
      <c r="B49" s="719"/>
      <c r="C49" s="720"/>
      <c r="D49" s="720"/>
      <c r="E49" s="721"/>
      <c r="F49" s="745"/>
      <c r="G49" s="720"/>
      <c r="H49" s="722"/>
      <c r="I49" s="723"/>
      <c r="J49" s="720"/>
      <c r="K49" s="720"/>
      <c r="L49" s="720"/>
      <c r="M49" s="720"/>
      <c r="N49" s="748">
        <v>44408</v>
      </c>
      <c r="O49" s="751"/>
      <c r="P49" s="726">
        <v>2000</v>
      </c>
      <c r="Q49" s="727">
        <v>44413</v>
      </c>
      <c r="R49" s="728"/>
      <c r="S49" s="726"/>
      <c r="T49" s="726"/>
      <c r="U49" s="722"/>
      <c r="V49" s="754"/>
      <c r="W49" s="730"/>
      <c r="X49" s="252">
        <v>7</v>
      </c>
    </row>
    <row r="50" spans="1:24" s="273" customFormat="1" x14ac:dyDescent="0.25">
      <c r="A50" s="718"/>
      <c r="B50" s="719"/>
      <c r="C50" s="720"/>
      <c r="D50" s="720"/>
      <c r="E50" s="721"/>
      <c r="F50" s="745"/>
      <c r="G50" s="720"/>
      <c r="H50" s="722"/>
      <c r="I50" s="723"/>
      <c r="J50" s="720"/>
      <c r="K50" s="720"/>
      <c r="L50" s="720"/>
      <c r="M50" s="720"/>
      <c r="N50" s="748">
        <v>44439</v>
      </c>
      <c r="O50" s="751"/>
      <c r="P50" s="726">
        <v>2000</v>
      </c>
      <c r="Q50" s="727">
        <v>44439</v>
      </c>
      <c r="R50" s="728"/>
      <c r="S50" s="726"/>
      <c r="T50" s="726"/>
      <c r="U50" s="722"/>
      <c r="V50" s="754"/>
      <c r="W50" s="730"/>
      <c r="X50" s="273">
        <v>7</v>
      </c>
    </row>
    <row r="51" spans="1:24" s="340" customFormat="1" x14ac:dyDescent="0.25">
      <c r="A51" s="718"/>
      <c r="B51" s="719"/>
      <c r="C51" s="720"/>
      <c r="D51" s="720"/>
      <c r="E51" s="721"/>
      <c r="F51" s="745"/>
      <c r="G51" s="720"/>
      <c r="H51" s="722"/>
      <c r="I51" s="723"/>
      <c r="J51" s="720"/>
      <c r="K51" s="720"/>
      <c r="L51" s="720"/>
      <c r="M51" s="720"/>
      <c r="N51" s="748">
        <v>44469</v>
      </c>
      <c r="O51" s="751"/>
      <c r="P51" s="726">
        <v>2000</v>
      </c>
      <c r="Q51" s="727">
        <v>44487</v>
      </c>
      <c r="R51" s="728"/>
      <c r="S51" s="726"/>
      <c r="T51" s="726"/>
      <c r="U51" s="722"/>
      <c r="V51" s="754"/>
      <c r="W51" s="730"/>
      <c r="X51" s="340">
        <v>7</v>
      </c>
    </row>
    <row r="52" spans="1:24" s="359" customFormat="1" x14ac:dyDescent="0.25">
      <c r="A52" s="731"/>
      <c r="B52" s="732"/>
      <c r="C52" s="733"/>
      <c r="D52" s="733"/>
      <c r="E52" s="734"/>
      <c r="F52" s="746"/>
      <c r="G52" s="733"/>
      <c r="H52" s="735"/>
      <c r="I52" s="736"/>
      <c r="J52" s="733"/>
      <c r="K52" s="733"/>
      <c r="L52" s="733"/>
      <c r="M52" s="733"/>
      <c r="N52" s="749">
        <v>44500</v>
      </c>
      <c r="O52" s="752"/>
      <c r="P52" s="739">
        <v>2000</v>
      </c>
      <c r="Q52" s="740">
        <v>44510</v>
      </c>
      <c r="R52" s="741"/>
      <c r="S52" s="739"/>
      <c r="T52" s="739"/>
      <c r="U52" s="735"/>
      <c r="V52" s="755"/>
      <c r="W52" s="743"/>
      <c r="X52" s="359">
        <v>7</v>
      </c>
    </row>
    <row r="53" spans="1:24" s="107" customFormat="1" ht="93.75" customHeight="1" x14ac:dyDescent="0.25">
      <c r="A53" s="705">
        <v>8</v>
      </c>
      <c r="B53" s="706" t="s">
        <v>56</v>
      </c>
      <c r="C53" s="707" t="s">
        <v>146</v>
      </c>
      <c r="D53" s="707" t="s">
        <v>147</v>
      </c>
      <c r="E53" s="708" t="s">
        <v>226</v>
      </c>
      <c r="F53" s="744">
        <v>44217</v>
      </c>
      <c r="G53" s="707" t="s">
        <v>227</v>
      </c>
      <c r="H53" s="709">
        <v>36000</v>
      </c>
      <c r="I53" s="710">
        <f>IF(X53 = 8, H53 + SUM(S53:S63) - SUM(T53:T63) - SUM(P53:P63) - V53,0)</f>
        <v>6000</v>
      </c>
      <c r="J53" s="707" t="s">
        <v>223</v>
      </c>
      <c r="K53" s="707" t="s">
        <v>222</v>
      </c>
      <c r="L53" s="707" t="s">
        <v>146</v>
      </c>
      <c r="M53" s="707" t="s">
        <v>228</v>
      </c>
      <c r="N53" s="747">
        <v>44227</v>
      </c>
      <c r="O53" s="750" t="s">
        <v>144</v>
      </c>
      <c r="P53" s="713">
        <v>3000</v>
      </c>
      <c r="Q53" s="714">
        <v>44236</v>
      </c>
      <c r="R53" s="715"/>
      <c r="S53" s="713"/>
      <c r="T53" s="713"/>
      <c r="U53" s="709"/>
      <c r="V53" s="753"/>
      <c r="W53" s="717"/>
      <c r="X53" s="107">
        <v>8</v>
      </c>
    </row>
    <row r="54" spans="1:24" s="106" customFormat="1" x14ac:dyDescent="0.25">
      <c r="A54" s="718"/>
      <c r="B54" s="719"/>
      <c r="C54" s="720"/>
      <c r="D54" s="720"/>
      <c r="E54" s="721"/>
      <c r="F54" s="745"/>
      <c r="G54" s="720"/>
      <c r="H54" s="722"/>
      <c r="I54" s="723"/>
      <c r="J54" s="720"/>
      <c r="K54" s="720"/>
      <c r="L54" s="720"/>
      <c r="M54" s="720"/>
      <c r="N54" s="748">
        <v>44255</v>
      </c>
      <c r="O54" s="751"/>
      <c r="P54" s="726">
        <v>3000</v>
      </c>
      <c r="Q54" s="727">
        <v>44264</v>
      </c>
      <c r="R54" s="728"/>
      <c r="S54" s="726"/>
      <c r="T54" s="726"/>
      <c r="U54" s="722"/>
      <c r="V54" s="754"/>
      <c r="W54" s="730"/>
      <c r="X54" s="106">
        <v>8</v>
      </c>
    </row>
    <row r="55" spans="1:24" s="142" customFormat="1" x14ac:dyDescent="0.25">
      <c r="A55" s="718"/>
      <c r="B55" s="719"/>
      <c r="C55" s="720"/>
      <c r="D55" s="720"/>
      <c r="E55" s="721"/>
      <c r="F55" s="745"/>
      <c r="G55" s="720"/>
      <c r="H55" s="722"/>
      <c r="I55" s="723"/>
      <c r="J55" s="720"/>
      <c r="K55" s="720"/>
      <c r="L55" s="720"/>
      <c r="M55" s="720"/>
      <c r="N55" s="748">
        <v>44286</v>
      </c>
      <c r="O55" s="751"/>
      <c r="P55" s="726">
        <v>3000</v>
      </c>
      <c r="Q55" s="727">
        <v>44287</v>
      </c>
      <c r="R55" s="728"/>
      <c r="S55" s="726"/>
      <c r="T55" s="726"/>
      <c r="U55" s="722"/>
      <c r="V55" s="754"/>
      <c r="W55" s="730"/>
      <c r="X55" s="142">
        <v>8</v>
      </c>
    </row>
    <row r="56" spans="1:24" s="142" customFormat="1" x14ac:dyDescent="0.25">
      <c r="A56" s="718"/>
      <c r="B56" s="719"/>
      <c r="C56" s="720"/>
      <c r="D56" s="720"/>
      <c r="E56" s="721"/>
      <c r="F56" s="745"/>
      <c r="G56" s="720"/>
      <c r="H56" s="722"/>
      <c r="I56" s="723"/>
      <c r="J56" s="720"/>
      <c r="K56" s="720"/>
      <c r="L56" s="720"/>
      <c r="M56" s="720"/>
      <c r="N56" s="748">
        <v>44307</v>
      </c>
      <c r="O56" s="751"/>
      <c r="P56" s="726">
        <v>3000</v>
      </c>
      <c r="Q56" s="727">
        <v>44313</v>
      </c>
      <c r="R56" s="728"/>
      <c r="S56" s="726"/>
      <c r="T56" s="726"/>
      <c r="U56" s="722"/>
      <c r="V56" s="754"/>
      <c r="W56" s="730"/>
      <c r="X56" s="142">
        <v>8</v>
      </c>
    </row>
    <row r="57" spans="1:24" s="149" customFormat="1" x14ac:dyDescent="0.25">
      <c r="A57" s="718"/>
      <c r="B57" s="719"/>
      <c r="C57" s="720"/>
      <c r="D57" s="720"/>
      <c r="E57" s="721"/>
      <c r="F57" s="745"/>
      <c r="G57" s="720"/>
      <c r="H57" s="722"/>
      <c r="I57" s="723"/>
      <c r="J57" s="720"/>
      <c r="K57" s="720"/>
      <c r="L57" s="720"/>
      <c r="M57" s="720"/>
      <c r="N57" s="748">
        <v>44337</v>
      </c>
      <c r="O57" s="751"/>
      <c r="P57" s="726">
        <v>3000</v>
      </c>
      <c r="Q57" s="727">
        <v>44344</v>
      </c>
      <c r="R57" s="728"/>
      <c r="S57" s="726"/>
      <c r="T57" s="726"/>
      <c r="U57" s="722"/>
      <c r="V57" s="754"/>
      <c r="W57" s="730"/>
      <c r="X57" s="149">
        <v>8</v>
      </c>
    </row>
    <row r="58" spans="1:24" s="212" customFormat="1" x14ac:dyDescent="0.25">
      <c r="A58" s="718"/>
      <c r="B58" s="719"/>
      <c r="C58" s="720"/>
      <c r="D58" s="720"/>
      <c r="E58" s="721"/>
      <c r="F58" s="745"/>
      <c r="G58" s="720"/>
      <c r="H58" s="722"/>
      <c r="I58" s="723"/>
      <c r="J58" s="720"/>
      <c r="K58" s="720"/>
      <c r="L58" s="720"/>
      <c r="M58" s="720"/>
      <c r="N58" s="748">
        <v>44368</v>
      </c>
      <c r="O58" s="751"/>
      <c r="P58" s="726">
        <v>3000</v>
      </c>
      <c r="Q58" s="727">
        <v>44384</v>
      </c>
      <c r="R58" s="728"/>
      <c r="S58" s="726"/>
      <c r="T58" s="726"/>
      <c r="U58" s="722"/>
      <c r="V58" s="754"/>
      <c r="W58" s="730"/>
      <c r="X58" s="212">
        <v>8</v>
      </c>
    </row>
    <row r="59" spans="1:24" s="252" customFormat="1" x14ac:dyDescent="0.25">
      <c r="A59" s="718"/>
      <c r="B59" s="719"/>
      <c r="C59" s="720"/>
      <c r="D59" s="720"/>
      <c r="E59" s="721"/>
      <c r="F59" s="745"/>
      <c r="G59" s="720"/>
      <c r="H59" s="722"/>
      <c r="I59" s="723"/>
      <c r="J59" s="720"/>
      <c r="K59" s="720"/>
      <c r="L59" s="720"/>
      <c r="M59" s="720"/>
      <c r="N59" s="748">
        <v>44408</v>
      </c>
      <c r="O59" s="751"/>
      <c r="P59" s="726">
        <v>3000</v>
      </c>
      <c r="Q59" s="727">
        <v>44413</v>
      </c>
      <c r="R59" s="728"/>
      <c r="S59" s="726"/>
      <c r="T59" s="726"/>
      <c r="U59" s="722"/>
      <c r="V59" s="754"/>
      <c r="W59" s="730"/>
      <c r="X59" s="252">
        <v>8</v>
      </c>
    </row>
    <row r="60" spans="1:24" s="273" customFormat="1" x14ac:dyDescent="0.25">
      <c r="A60" s="718"/>
      <c r="B60" s="719"/>
      <c r="C60" s="720"/>
      <c r="D60" s="720"/>
      <c r="E60" s="721"/>
      <c r="F60" s="745"/>
      <c r="G60" s="720"/>
      <c r="H60" s="722"/>
      <c r="I60" s="723"/>
      <c r="J60" s="720"/>
      <c r="K60" s="720"/>
      <c r="L60" s="720"/>
      <c r="M60" s="720"/>
      <c r="N60" s="748">
        <v>44439</v>
      </c>
      <c r="O60" s="751"/>
      <c r="P60" s="726">
        <v>3000</v>
      </c>
      <c r="Q60" s="727">
        <v>44439</v>
      </c>
      <c r="R60" s="728"/>
      <c r="S60" s="726"/>
      <c r="T60" s="726"/>
      <c r="U60" s="722"/>
      <c r="V60" s="754"/>
      <c r="W60" s="730"/>
      <c r="X60" s="273">
        <v>8</v>
      </c>
    </row>
    <row r="61" spans="1:24" s="340" customFormat="1" x14ac:dyDescent="0.25">
      <c r="A61" s="718"/>
      <c r="B61" s="719"/>
      <c r="C61" s="720"/>
      <c r="D61" s="720"/>
      <c r="E61" s="721"/>
      <c r="F61" s="745"/>
      <c r="G61" s="720"/>
      <c r="H61" s="722"/>
      <c r="I61" s="723"/>
      <c r="J61" s="720"/>
      <c r="K61" s="720"/>
      <c r="L61" s="720"/>
      <c r="M61" s="720"/>
      <c r="N61" s="748">
        <v>44469</v>
      </c>
      <c r="O61" s="751"/>
      <c r="P61" s="726">
        <v>3000</v>
      </c>
      <c r="Q61" s="727">
        <v>44487</v>
      </c>
      <c r="R61" s="728"/>
      <c r="S61" s="726"/>
      <c r="T61" s="726"/>
      <c r="U61" s="722"/>
      <c r="V61" s="754"/>
      <c r="W61" s="730"/>
      <c r="X61" s="340">
        <v>8</v>
      </c>
    </row>
    <row r="62" spans="1:24" s="340" customFormat="1" x14ac:dyDescent="0.25">
      <c r="A62" s="718"/>
      <c r="B62" s="719"/>
      <c r="C62" s="720"/>
      <c r="D62" s="720"/>
      <c r="E62" s="721"/>
      <c r="F62" s="745"/>
      <c r="G62" s="720"/>
      <c r="H62" s="722"/>
      <c r="I62" s="723"/>
      <c r="J62" s="720"/>
      <c r="K62" s="720"/>
      <c r="L62" s="720"/>
      <c r="M62" s="720"/>
      <c r="N62" s="748">
        <v>44500</v>
      </c>
      <c r="O62" s="751"/>
      <c r="P62" s="726">
        <v>3000</v>
      </c>
      <c r="Q62" s="727">
        <v>44510</v>
      </c>
      <c r="R62" s="728"/>
      <c r="S62" s="726"/>
      <c r="T62" s="726"/>
      <c r="U62" s="722"/>
      <c r="V62" s="754"/>
      <c r="W62" s="730"/>
      <c r="X62" s="340">
        <v>8</v>
      </c>
    </row>
    <row r="63" spans="1:24" s="359" customFormat="1" x14ac:dyDescent="0.25">
      <c r="A63" s="731"/>
      <c r="B63" s="732"/>
      <c r="C63" s="733"/>
      <c r="D63" s="733"/>
      <c r="E63" s="734"/>
      <c r="F63" s="746"/>
      <c r="G63" s="733"/>
      <c r="H63" s="735"/>
      <c r="I63" s="736"/>
      <c r="J63" s="733"/>
      <c r="K63" s="733"/>
      <c r="L63" s="733"/>
      <c r="M63" s="733"/>
      <c r="N63" s="749"/>
      <c r="O63" s="752"/>
      <c r="P63" s="739"/>
      <c r="Q63" s="740"/>
      <c r="R63" s="741"/>
      <c r="S63" s="739"/>
      <c r="T63" s="739"/>
      <c r="U63" s="735"/>
      <c r="V63" s="755"/>
      <c r="W63" s="743"/>
      <c r="X63" s="359">
        <v>8</v>
      </c>
    </row>
    <row r="64" spans="1:24" s="107" customFormat="1" ht="93.75" x14ac:dyDescent="0.25">
      <c r="A64" s="108">
        <v>9</v>
      </c>
      <c r="B64" s="139" t="s">
        <v>56</v>
      </c>
      <c r="C64" s="110" t="s">
        <v>146</v>
      </c>
      <c r="D64" s="110" t="s">
        <v>147</v>
      </c>
      <c r="E64" s="111" t="s">
        <v>229</v>
      </c>
      <c r="F64" s="118">
        <v>44229</v>
      </c>
      <c r="G64" s="110" t="s">
        <v>233</v>
      </c>
      <c r="H64" s="113">
        <v>10965</v>
      </c>
      <c r="I64" s="109">
        <f>IF(X64 = 9, H64 + SUM(S64:S64) - SUM(T64:T64) - SUM(P64:P64) - V64,0)</f>
        <v>0</v>
      </c>
      <c r="J64" s="110" t="s">
        <v>197</v>
      </c>
      <c r="K64" s="110" t="s">
        <v>198</v>
      </c>
      <c r="L64" s="110" t="s">
        <v>146</v>
      </c>
      <c r="M64" s="110" t="s">
        <v>211</v>
      </c>
      <c r="N64" s="118">
        <v>44235</v>
      </c>
      <c r="O64" s="139" t="s">
        <v>144</v>
      </c>
      <c r="P64" s="113">
        <v>10965</v>
      </c>
      <c r="Q64" s="111">
        <v>44236</v>
      </c>
      <c r="R64" s="110"/>
      <c r="S64" s="113"/>
      <c r="T64" s="113"/>
      <c r="U64" s="113"/>
      <c r="V64" s="112"/>
      <c r="W64" s="114"/>
      <c r="X64" s="107">
        <v>9</v>
      </c>
    </row>
    <row r="65" spans="1:24" s="107" customFormat="1" ht="93.75" x14ac:dyDescent="0.25">
      <c r="A65" s="108">
        <v>10</v>
      </c>
      <c r="B65" s="139" t="s">
        <v>56</v>
      </c>
      <c r="C65" s="110" t="s">
        <v>146</v>
      </c>
      <c r="D65" s="110" t="s">
        <v>147</v>
      </c>
      <c r="E65" s="111" t="s">
        <v>230</v>
      </c>
      <c r="F65" s="118">
        <v>44232</v>
      </c>
      <c r="G65" s="110" t="s">
        <v>234</v>
      </c>
      <c r="H65" s="113">
        <v>3900</v>
      </c>
      <c r="I65" s="109">
        <f>IF(X65 = 10, H65 + SUM(S65:S65) - SUM(T65:T65) - SUM(P65:P65) - V65,0)</f>
        <v>0</v>
      </c>
      <c r="J65" s="110" t="s">
        <v>232</v>
      </c>
      <c r="K65" s="110" t="s">
        <v>231</v>
      </c>
      <c r="L65" s="110" t="s">
        <v>146</v>
      </c>
      <c r="M65" s="110" t="s">
        <v>235</v>
      </c>
      <c r="N65" s="118">
        <v>44235</v>
      </c>
      <c r="O65" s="139" t="s">
        <v>144</v>
      </c>
      <c r="P65" s="113">
        <v>3900</v>
      </c>
      <c r="Q65" s="111">
        <v>44235</v>
      </c>
      <c r="R65" s="110"/>
      <c r="S65" s="113"/>
      <c r="T65" s="113"/>
      <c r="U65" s="113"/>
      <c r="V65" s="112"/>
      <c r="W65" s="114"/>
      <c r="X65" s="107">
        <v>10</v>
      </c>
    </row>
    <row r="66" spans="1:24" s="107" customFormat="1" ht="93.75" x14ac:dyDescent="0.25">
      <c r="A66" s="108">
        <v>11</v>
      </c>
      <c r="B66" s="139" t="s">
        <v>56</v>
      </c>
      <c r="C66" s="110" t="s">
        <v>146</v>
      </c>
      <c r="D66" s="110" t="s">
        <v>147</v>
      </c>
      <c r="E66" s="111" t="s">
        <v>236</v>
      </c>
      <c r="F66" s="118">
        <v>44253</v>
      </c>
      <c r="G66" s="110" t="s">
        <v>233</v>
      </c>
      <c r="H66" s="113">
        <v>7392</v>
      </c>
      <c r="I66" s="109">
        <f>IF(X66 = 11, H66 + SUM(S66:S66) - SUM(T66:T66) - SUM(P66:P66) - V66,0)</f>
        <v>0</v>
      </c>
      <c r="J66" s="110" t="s">
        <v>197</v>
      </c>
      <c r="K66" s="110" t="s">
        <v>198</v>
      </c>
      <c r="L66" s="110" t="s">
        <v>146</v>
      </c>
      <c r="M66" s="110" t="s">
        <v>211</v>
      </c>
      <c r="N66" s="118">
        <v>44270</v>
      </c>
      <c r="O66" s="139" t="s">
        <v>144</v>
      </c>
      <c r="P66" s="113">
        <v>7392</v>
      </c>
      <c r="Q66" s="111">
        <v>44270</v>
      </c>
      <c r="R66" s="110"/>
      <c r="S66" s="113"/>
      <c r="T66" s="113"/>
      <c r="U66" s="113"/>
      <c r="V66" s="112"/>
      <c r="W66" s="114"/>
      <c r="X66" s="107">
        <v>11</v>
      </c>
    </row>
    <row r="67" spans="1:24" s="107" customFormat="1" ht="93.75" x14ac:dyDescent="0.25">
      <c r="A67" s="108">
        <v>12</v>
      </c>
      <c r="B67" s="139" t="s">
        <v>56</v>
      </c>
      <c r="C67" s="110" t="s">
        <v>146</v>
      </c>
      <c r="D67" s="110" t="s">
        <v>147</v>
      </c>
      <c r="E67" s="111" t="s">
        <v>237</v>
      </c>
      <c r="F67" s="118">
        <v>44265</v>
      </c>
      <c r="G67" s="110" t="s">
        <v>238</v>
      </c>
      <c r="H67" s="113">
        <v>14650</v>
      </c>
      <c r="I67" s="109">
        <f>IF(X67 = 12, H67 + SUM(S67:S67) - SUM(T67:T67) - SUM(P67:P67) - V67,0)</f>
        <v>0</v>
      </c>
      <c r="J67" s="110" t="s">
        <v>197</v>
      </c>
      <c r="K67" s="110" t="s">
        <v>198</v>
      </c>
      <c r="L67" s="110" t="s">
        <v>146</v>
      </c>
      <c r="M67" s="110" t="s">
        <v>211</v>
      </c>
      <c r="N67" s="118">
        <v>44270</v>
      </c>
      <c r="O67" s="139" t="s">
        <v>144</v>
      </c>
      <c r="P67" s="113">
        <v>14650</v>
      </c>
      <c r="Q67" s="111">
        <v>44270</v>
      </c>
      <c r="R67" s="110"/>
      <c r="S67" s="113"/>
      <c r="T67" s="113"/>
      <c r="U67" s="113"/>
      <c r="V67" s="112"/>
      <c r="W67" s="114"/>
      <c r="X67" s="107">
        <v>12</v>
      </c>
    </row>
    <row r="68" spans="1:24" s="107" customFormat="1" ht="93.75" x14ac:dyDescent="0.25">
      <c r="A68" s="108">
        <v>13</v>
      </c>
      <c r="B68" s="139" t="s">
        <v>56</v>
      </c>
      <c r="C68" s="110" t="s">
        <v>146</v>
      </c>
      <c r="D68" s="110" t="s">
        <v>147</v>
      </c>
      <c r="E68" s="111" t="s">
        <v>244</v>
      </c>
      <c r="F68" s="118">
        <v>44284</v>
      </c>
      <c r="G68" s="110" t="s">
        <v>240</v>
      </c>
      <c r="H68" s="113">
        <v>10290</v>
      </c>
      <c r="I68" s="109">
        <f>IF(X68 = 13, H68 + SUM(S68:S68) - SUM(T68:T68) - SUM(P68:P68) - V68,0)</f>
        <v>0</v>
      </c>
      <c r="J68" s="110" t="s">
        <v>241</v>
      </c>
      <c r="K68" s="110" t="s">
        <v>242</v>
      </c>
      <c r="L68" s="110" t="s">
        <v>146</v>
      </c>
      <c r="M68" s="110" t="s">
        <v>212</v>
      </c>
      <c r="N68" s="118">
        <v>44284</v>
      </c>
      <c r="O68" s="139" t="s">
        <v>144</v>
      </c>
      <c r="P68" s="113">
        <v>10290</v>
      </c>
      <c r="Q68" s="111">
        <v>44295</v>
      </c>
      <c r="R68" s="110"/>
      <c r="S68" s="113"/>
      <c r="T68" s="113"/>
      <c r="U68" s="113"/>
      <c r="V68" s="112"/>
      <c r="W68" s="114"/>
      <c r="X68" s="107">
        <v>13</v>
      </c>
    </row>
    <row r="69" spans="1:24" s="107" customFormat="1" ht="93.75" x14ac:dyDescent="0.25">
      <c r="A69" s="119">
        <v>14</v>
      </c>
      <c r="B69" s="139" t="s">
        <v>56</v>
      </c>
      <c r="C69" s="120" t="s">
        <v>146</v>
      </c>
      <c r="D69" s="120" t="s">
        <v>243</v>
      </c>
      <c r="E69" s="121" t="s">
        <v>245</v>
      </c>
      <c r="F69" s="138">
        <v>44284</v>
      </c>
      <c r="G69" s="120" t="s">
        <v>246</v>
      </c>
      <c r="H69" s="122">
        <v>13110</v>
      </c>
      <c r="I69" s="123">
        <f>IF(X69 = 14, H69 + SUM(S69:S69) - SUM(T69:T69) - SUM(P69:P69) - V69,0)</f>
        <v>0</v>
      </c>
      <c r="J69" s="120" t="s">
        <v>241</v>
      </c>
      <c r="K69" s="120" t="s">
        <v>242</v>
      </c>
      <c r="L69" s="120" t="s">
        <v>146</v>
      </c>
      <c r="M69" s="120" t="s">
        <v>212</v>
      </c>
      <c r="N69" s="138">
        <v>44284</v>
      </c>
      <c r="O69" s="139" t="s">
        <v>144</v>
      </c>
      <c r="P69" s="122">
        <v>13110</v>
      </c>
      <c r="Q69" s="121">
        <v>44295</v>
      </c>
      <c r="R69" s="120"/>
      <c r="S69" s="122"/>
      <c r="T69" s="122"/>
      <c r="U69" s="122"/>
      <c r="V69" s="125"/>
      <c r="W69" s="124"/>
      <c r="X69" s="107">
        <v>14</v>
      </c>
    </row>
    <row r="70" spans="1:24" s="107" customFormat="1" ht="93.75" x14ac:dyDescent="0.25">
      <c r="A70" s="119">
        <v>15</v>
      </c>
      <c r="B70" s="139" t="s">
        <v>56</v>
      </c>
      <c r="C70" s="120" t="s">
        <v>146</v>
      </c>
      <c r="D70" s="120" t="s">
        <v>147</v>
      </c>
      <c r="E70" s="121" t="s">
        <v>250</v>
      </c>
      <c r="F70" s="138">
        <v>44292</v>
      </c>
      <c r="G70" s="120" t="s">
        <v>249</v>
      </c>
      <c r="H70" s="122">
        <v>12420</v>
      </c>
      <c r="I70" s="123">
        <f>IF(X70 = 15, H70 + SUM(S70:S70) - SUM(T70:T70) - SUM(P70:P70) - V70,0)</f>
        <v>0</v>
      </c>
      <c r="J70" s="120" t="s">
        <v>248</v>
      </c>
      <c r="K70" s="120" t="s">
        <v>247</v>
      </c>
      <c r="L70" s="120" t="s">
        <v>146</v>
      </c>
      <c r="M70" s="110" t="s">
        <v>212</v>
      </c>
      <c r="N70" s="138">
        <v>44292</v>
      </c>
      <c r="O70" s="139" t="s">
        <v>144</v>
      </c>
      <c r="P70" s="122">
        <v>12420</v>
      </c>
      <c r="Q70" s="121">
        <v>44295</v>
      </c>
      <c r="R70" s="120"/>
      <c r="S70" s="122"/>
      <c r="T70" s="122"/>
      <c r="U70" s="122"/>
      <c r="V70" s="125"/>
      <c r="W70" s="124"/>
      <c r="X70" s="107">
        <v>15</v>
      </c>
    </row>
    <row r="71" spans="1:24" s="107" customFormat="1" ht="93.75" customHeight="1" x14ac:dyDescent="0.25">
      <c r="A71" s="705">
        <v>16</v>
      </c>
      <c r="B71" s="707" t="s">
        <v>56</v>
      </c>
      <c r="C71" s="707" t="s">
        <v>146</v>
      </c>
      <c r="D71" s="707" t="s">
        <v>243</v>
      </c>
      <c r="E71" s="708" t="s">
        <v>276</v>
      </c>
      <c r="F71" s="744">
        <v>44301</v>
      </c>
      <c r="G71" s="707" t="s">
        <v>251</v>
      </c>
      <c r="H71" s="709">
        <v>48280</v>
      </c>
      <c r="I71" s="710">
        <f>IF(X71 = 16, H71 + SUM(S71:S77) - SUM(T71:T77) - SUM(P71:P77) - V71,0)</f>
        <v>11889.5</v>
      </c>
      <c r="J71" s="707" t="s">
        <v>252</v>
      </c>
      <c r="K71" s="707" t="s">
        <v>202</v>
      </c>
      <c r="L71" s="707" t="s">
        <v>146</v>
      </c>
      <c r="M71" s="707" t="s">
        <v>152</v>
      </c>
      <c r="N71" s="747">
        <v>44316</v>
      </c>
      <c r="O71" s="750" t="s">
        <v>144</v>
      </c>
      <c r="P71" s="713">
        <v>1732.88</v>
      </c>
      <c r="Q71" s="714">
        <v>44333</v>
      </c>
      <c r="R71" s="715"/>
      <c r="S71" s="713"/>
      <c r="T71" s="713"/>
      <c r="U71" s="709"/>
      <c r="V71" s="753"/>
      <c r="W71" s="717"/>
      <c r="X71" s="107">
        <v>16</v>
      </c>
    </row>
    <row r="72" spans="1:24" s="210" customFormat="1" x14ac:dyDescent="0.25">
      <c r="A72" s="718"/>
      <c r="B72" s="720"/>
      <c r="C72" s="720"/>
      <c r="D72" s="720"/>
      <c r="E72" s="721"/>
      <c r="F72" s="745"/>
      <c r="G72" s="720"/>
      <c r="H72" s="722"/>
      <c r="I72" s="723"/>
      <c r="J72" s="720"/>
      <c r="K72" s="720"/>
      <c r="L72" s="720"/>
      <c r="M72" s="720"/>
      <c r="N72" s="748">
        <v>44347</v>
      </c>
      <c r="O72" s="751"/>
      <c r="P72" s="726">
        <v>5776.27</v>
      </c>
      <c r="Q72" s="727">
        <v>44357</v>
      </c>
      <c r="R72" s="728"/>
      <c r="S72" s="726"/>
      <c r="T72" s="726"/>
      <c r="U72" s="722"/>
      <c r="V72" s="754"/>
      <c r="W72" s="730"/>
      <c r="X72" s="210">
        <v>16</v>
      </c>
    </row>
    <row r="73" spans="1:24" s="212" customFormat="1" x14ac:dyDescent="0.25">
      <c r="A73" s="718"/>
      <c r="B73" s="720"/>
      <c r="C73" s="720"/>
      <c r="D73" s="720"/>
      <c r="E73" s="721"/>
      <c r="F73" s="745"/>
      <c r="G73" s="720"/>
      <c r="H73" s="722"/>
      <c r="I73" s="723"/>
      <c r="J73" s="720"/>
      <c r="K73" s="720"/>
      <c r="L73" s="720"/>
      <c r="M73" s="720"/>
      <c r="N73" s="748">
        <v>44377</v>
      </c>
      <c r="O73" s="751"/>
      <c r="P73" s="726">
        <v>5776.27</v>
      </c>
      <c r="Q73" s="727">
        <v>44392</v>
      </c>
      <c r="R73" s="728"/>
      <c r="S73" s="726"/>
      <c r="T73" s="726"/>
      <c r="U73" s="722"/>
      <c r="V73" s="754"/>
      <c r="W73" s="730"/>
      <c r="X73" s="212">
        <v>16</v>
      </c>
    </row>
    <row r="74" spans="1:24" s="273" customFormat="1" x14ac:dyDescent="0.25">
      <c r="A74" s="718"/>
      <c r="B74" s="720"/>
      <c r="C74" s="720"/>
      <c r="D74" s="720"/>
      <c r="E74" s="721"/>
      <c r="F74" s="745"/>
      <c r="G74" s="720"/>
      <c r="H74" s="722"/>
      <c r="I74" s="723"/>
      <c r="J74" s="720"/>
      <c r="K74" s="720"/>
      <c r="L74" s="720"/>
      <c r="M74" s="720"/>
      <c r="N74" s="748">
        <v>44408</v>
      </c>
      <c r="O74" s="751"/>
      <c r="P74" s="726">
        <v>5776.27</v>
      </c>
      <c r="Q74" s="727">
        <v>44426</v>
      </c>
      <c r="R74" s="728"/>
      <c r="S74" s="726"/>
      <c r="T74" s="726"/>
      <c r="U74" s="722"/>
      <c r="V74" s="754"/>
      <c r="W74" s="730"/>
      <c r="X74" s="273">
        <v>16</v>
      </c>
    </row>
    <row r="75" spans="1:24" s="281" customFormat="1" x14ac:dyDescent="0.25">
      <c r="A75" s="718"/>
      <c r="B75" s="720"/>
      <c r="C75" s="720"/>
      <c r="D75" s="720"/>
      <c r="E75" s="721"/>
      <c r="F75" s="745"/>
      <c r="G75" s="720"/>
      <c r="H75" s="722"/>
      <c r="I75" s="723"/>
      <c r="J75" s="720"/>
      <c r="K75" s="720"/>
      <c r="L75" s="720"/>
      <c r="M75" s="720"/>
      <c r="N75" s="748">
        <v>44439</v>
      </c>
      <c r="O75" s="751"/>
      <c r="P75" s="726">
        <v>5776.27</v>
      </c>
      <c r="Q75" s="727">
        <v>44447</v>
      </c>
      <c r="R75" s="728"/>
      <c r="S75" s="726"/>
      <c r="T75" s="726"/>
      <c r="U75" s="722"/>
      <c r="V75" s="754"/>
      <c r="W75" s="730"/>
      <c r="X75" s="281">
        <v>16</v>
      </c>
    </row>
    <row r="76" spans="1:24" s="340" customFormat="1" x14ac:dyDescent="0.25">
      <c r="A76" s="718"/>
      <c r="B76" s="720"/>
      <c r="C76" s="720"/>
      <c r="D76" s="720"/>
      <c r="E76" s="721"/>
      <c r="F76" s="745"/>
      <c r="G76" s="720"/>
      <c r="H76" s="722"/>
      <c r="I76" s="723"/>
      <c r="J76" s="720"/>
      <c r="K76" s="720"/>
      <c r="L76" s="720"/>
      <c r="M76" s="720"/>
      <c r="N76" s="748">
        <v>44469</v>
      </c>
      <c r="O76" s="751"/>
      <c r="P76" s="726">
        <v>5776.27</v>
      </c>
      <c r="Q76" s="727">
        <v>44487</v>
      </c>
      <c r="R76" s="728"/>
      <c r="S76" s="726"/>
      <c r="T76" s="726"/>
      <c r="U76" s="722"/>
      <c r="V76" s="754"/>
      <c r="W76" s="730"/>
      <c r="X76" s="340">
        <v>16</v>
      </c>
    </row>
    <row r="77" spans="1:24" s="359" customFormat="1" x14ac:dyDescent="0.25">
      <c r="A77" s="731"/>
      <c r="B77" s="733"/>
      <c r="C77" s="733"/>
      <c r="D77" s="733"/>
      <c r="E77" s="734"/>
      <c r="F77" s="746"/>
      <c r="G77" s="733"/>
      <c r="H77" s="735"/>
      <c r="I77" s="736"/>
      <c r="J77" s="733"/>
      <c r="K77" s="733"/>
      <c r="L77" s="733"/>
      <c r="M77" s="733"/>
      <c r="N77" s="749">
        <v>44500</v>
      </c>
      <c r="O77" s="752"/>
      <c r="P77" s="739">
        <v>5776.27</v>
      </c>
      <c r="Q77" s="740">
        <v>44510</v>
      </c>
      <c r="R77" s="741"/>
      <c r="S77" s="739"/>
      <c r="T77" s="739"/>
      <c r="U77" s="735"/>
      <c r="V77" s="755"/>
      <c r="W77" s="743"/>
      <c r="X77" s="359">
        <v>16</v>
      </c>
    </row>
    <row r="78" spans="1:24" s="107" customFormat="1" ht="93.75" x14ac:dyDescent="0.25">
      <c r="A78" s="148">
        <v>17</v>
      </c>
      <c r="B78" s="143" t="s">
        <v>56</v>
      </c>
      <c r="C78" s="143" t="s">
        <v>146</v>
      </c>
      <c r="D78" s="120" t="s">
        <v>147</v>
      </c>
      <c r="E78" s="145" t="s">
        <v>277</v>
      </c>
      <c r="F78" s="165">
        <v>44313</v>
      </c>
      <c r="G78" s="143" t="s">
        <v>253</v>
      </c>
      <c r="H78" s="146">
        <v>9945.09</v>
      </c>
      <c r="I78" s="147">
        <f>IF(X78 = 17, H78 + SUM(S78:S78) - SUM(T78:T78) - SUM(P78:P78) - V78,0)</f>
        <v>0</v>
      </c>
      <c r="J78" s="143" t="s">
        <v>254</v>
      </c>
      <c r="K78" s="143" t="s">
        <v>255</v>
      </c>
      <c r="L78" s="143" t="s">
        <v>146</v>
      </c>
      <c r="M78" s="143" t="s">
        <v>256</v>
      </c>
      <c r="N78" s="165"/>
      <c r="O78" s="139" t="s">
        <v>144</v>
      </c>
      <c r="P78" s="146">
        <v>9945.09</v>
      </c>
      <c r="Q78" s="145">
        <v>44315</v>
      </c>
      <c r="R78" s="143"/>
      <c r="S78" s="146"/>
      <c r="T78" s="146"/>
      <c r="U78" s="146"/>
      <c r="V78" s="151"/>
      <c r="W78" s="144"/>
      <c r="X78" s="107">
        <v>17</v>
      </c>
    </row>
    <row r="79" spans="1:24" s="107" customFormat="1" ht="93.75" x14ac:dyDescent="0.25">
      <c r="A79" s="148">
        <v>18</v>
      </c>
      <c r="B79" s="143" t="s">
        <v>56</v>
      </c>
      <c r="C79" s="143" t="s">
        <v>146</v>
      </c>
      <c r="D79" s="150" t="s">
        <v>243</v>
      </c>
      <c r="E79" s="145">
        <v>44531</v>
      </c>
      <c r="F79" s="165">
        <v>44217</v>
      </c>
      <c r="G79" s="143" t="s">
        <v>257</v>
      </c>
      <c r="H79" s="146">
        <v>8000</v>
      </c>
      <c r="I79" s="147">
        <f>IF(X79 = 18, H79 + SUM(S79:S79) - SUM(T79:T79) - SUM(P79:P79) - V79,0)</f>
        <v>0</v>
      </c>
      <c r="J79" s="143" t="s">
        <v>258</v>
      </c>
      <c r="K79" s="143" t="s">
        <v>259</v>
      </c>
      <c r="L79" s="143" t="s">
        <v>146</v>
      </c>
      <c r="M79" s="143" t="s">
        <v>260</v>
      </c>
      <c r="N79" s="165">
        <v>44289</v>
      </c>
      <c r="O79" s="139" t="s">
        <v>144</v>
      </c>
      <c r="P79" s="146">
        <v>8000</v>
      </c>
      <c r="Q79" s="145">
        <v>44312</v>
      </c>
      <c r="R79" s="143"/>
      <c r="S79" s="146"/>
      <c r="T79" s="146"/>
      <c r="U79" s="146"/>
      <c r="V79" s="151"/>
      <c r="W79" s="144"/>
      <c r="X79" s="107">
        <v>18</v>
      </c>
    </row>
    <row r="80" spans="1:24" s="107" customFormat="1" ht="93.75" x14ac:dyDescent="0.25">
      <c r="A80" s="148">
        <v>19</v>
      </c>
      <c r="B80" s="143" t="s">
        <v>56</v>
      </c>
      <c r="C80" s="143" t="s">
        <v>146</v>
      </c>
      <c r="D80" s="120" t="s">
        <v>147</v>
      </c>
      <c r="E80" s="145"/>
      <c r="F80" s="165">
        <v>44302</v>
      </c>
      <c r="G80" s="143" t="s">
        <v>261</v>
      </c>
      <c r="H80" s="146">
        <v>4700</v>
      </c>
      <c r="I80" s="147">
        <f>IF(X80 = 19, H80 + SUM(S80:S80) - SUM(T80:T80) - SUM(P80:P80) - V80,0)</f>
        <v>0</v>
      </c>
      <c r="J80" s="143" t="s">
        <v>180</v>
      </c>
      <c r="K80" s="143" t="s">
        <v>181</v>
      </c>
      <c r="L80" s="143" t="s">
        <v>146</v>
      </c>
      <c r="M80" s="143" t="s">
        <v>262</v>
      </c>
      <c r="N80" s="165">
        <v>44370</v>
      </c>
      <c r="O80" s="139" t="s">
        <v>144</v>
      </c>
      <c r="P80" s="146">
        <v>4700</v>
      </c>
      <c r="Q80" s="145">
        <v>44375</v>
      </c>
      <c r="R80" s="143"/>
      <c r="S80" s="146"/>
      <c r="T80" s="146"/>
      <c r="U80" s="146"/>
      <c r="V80" s="151"/>
      <c r="W80" s="144"/>
      <c r="X80" s="107">
        <v>19</v>
      </c>
    </row>
    <row r="81" spans="1:24" s="107" customFormat="1" ht="93.75" x14ac:dyDescent="0.25">
      <c r="A81" s="148">
        <v>20</v>
      </c>
      <c r="B81" s="143" t="s">
        <v>56</v>
      </c>
      <c r="C81" s="143" t="s">
        <v>146</v>
      </c>
      <c r="D81" s="143" t="s">
        <v>243</v>
      </c>
      <c r="E81" s="145"/>
      <c r="F81" s="165">
        <v>44287</v>
      </c>
      <c r="G81" s="143" t="s">
        <v>263</v>
      </c>
      <c r="H81" s="146">
        <v>12525</v>
      </c>
      <c r="I81" s="147">
        <f>IF(X81 = 20, H81 + SUM(S81:S81) - SUM(T81:T81) - SUM(P81:P81) - V81,0)</f>
        <v>0</v>
      </c>
      <c r="J81" s="143" t="s">
        <v>264</v>
      </c>
      <c r="K81" s="143" t="s">
        <v>265</v>
      </c>
      <c r="L81" s="143" t="s">
        <v>146</v>
      </c>
      <c r="M81" s="143" t="s">
        <v>266</v>
      </c>
      <c r="N81" s="165">
        <v>44372</v>
      </c>
      <c r="O81" s="139" t="s">
        <v>144</v>
      </c>
      <c r="P81" s="146">
        <v>12525</v>
      </c>
      <c r="Q81" s="145">
        <v>44396</v>
      </c>
      <c r="R81" s="143"/>
      <c r="S81" s="146"/>
      <c r="T81" s="146"/>
      <c r="U81" s="146"/>
      <c r="V81" s="151"/>
      <c r="W81" s="144"/>
      <c r="X81" s="107">
        <v>20</v>
      </c>
    </row>
    <row r="82" spans="1:24" s="107" customFormat="1" ht="93.75" customHeight="1" x14ac:dyDescent="0.25">
      <c r="A82" s="536">
        <v>21</v>
      </c>
      <c r="B82" s="522" t="s">
        <v>56</v>
      </c>
      <c r="C82" s="522" t="s">
        <v>146</v>
      </c>
      <c r="D82" s="522" t="s">
        <v>243</v>
      </c>
      <c r="E82" s="524"/>
      <c r="F82" s="526">
        <v>44293</v>
      </c>
      <c r="G82" s="522" t="s">
        <v>263</v>
      </c>
      <c r="H82" s="528">
        <v>206073.01</v>
      </c>
      <c r="I82" s="530">
        <f>IF(X82 = 21, H82 + SUM(S82:S83) - SUM(T82:T83) - SUM(P82:P83) - V82,0)</f>
        <v>0</v>
      </c>
      <c r="J82" s="522" t="s">
        <v>267</v>
      </c>
      <c r="K82" s="522" t="s">
        <v>268</v>
      </c>
      <c r="L82" s="522" t="s">
        <v>146</v>
      </c>
      <c r="M82" s="522" t="s">
        <v>266</v>
      </c>
      <c r="N82" s="245">
        <v>44396</v>
      </c>
      <c r="O82" s="532" t="s">
        <v>144</v>
      </c>
      <c r="P82" s="236">
        <v>614.79</v>
      </c>
      <c r="Q82" s="237">
        <v>44396</v>
      </c>
      <c r="R82" s="238"/>
      <c r="S82" s="236"/>
      <c r="T82" s="236"/>
      <c r="U82" s="528"/>
      <c r="V82" s="534"/>
      <c r="W82" s="520"/>
      <c r="X82" s="107">
        <v>21</v>
      </c>
    </row>
    <row r="83" spans="1:24" s="212" customFormat="1" x14ac:dyDescent="0.25">
      <c r="A83" s="537"/>
      <c r="B83" s="523"/>
      <c r="C83" s="523"/>
      <c r="D83" s="523"/>
      <c r="E83" s="525"/>
      <c r="F83" s="527"/>
      <c r="G83" s="523"/>
      <c r="H83" s="529"/>
      <c r="I83" s="531"/>
      <c r="J83" s="523"/>
      <c r="K83" s="523"/>
      <c r="L83" s="523"/>
      <c r="M83" s="523"/>
      <c r="N83" s="247">
        <v>44399</v>
      </c>
      <c r="O83" s="533"/>
      <c r="P83" s="242">
        <v>205458.22</v>
      </c>
      <c r="Q83" s="243">
        <v>44399</v>
      </c>
      <c r="R83" s="244"/>
      <c r="S83" s="242"/>
      <c r="T83" s="242"/>
      <c r="U83" s="529"/>
      <c r="V83" s="535"/>
      <c r="W83" s="521"/>
      <c r="X83" s="212">
        <v>21</v>
      </c>
    </row>
    <row r="84" spans="1:24" s="107" customFormat="1" ht="93.75" x14ac:dyDescent="0.25">
      <c r="A84" s="148">
        <v>22</v>
      </c>
      <c r="B84" s="143" t="s">
        <v>56</v>
      </c>
      <c r="C84" s="143" t="s">
        <v>146</v>
      </c>
      <c r="D84" s="143" t="s">
        <v>243</v>
      </c>
      <c r="E84" s="145" t="s">
        <v>275</v>
      </c>
      <c r="F84" s="165">
        <v>44252</v>
      </c>
      <c r="G84" s="143" t="s">
        <v>269</v>
      </c>
      <c r="H84" s="146">
        <v>10745.85</v>
      </c>
      <c r="I84" s="147">
        <f>IF(X84 = 22, H84 + SUM(S84:S84) - SUM(T84:T84) - SUM(P84:P84) - V84,0)</f>
        <v>0</v>
      </c>
      <c r="J84" s="143" t="s">
        <v>270</v>
      </c>
      <c r="K84" s="143" t="s">
        <v>271</v>
      </c>
      <c r="L84" s="143" t="s">
        <v>146</v>
      </c>
      <c r="M84" s="143" t="s">
        <v>272</v>
      </c>
      <c r="N84" s="165">
        <v>44284</v>
      </c>
      <c r="O84" s="139" t="s">
        <v>144</v>
      </c>
      <c r="P84" s="146">
        <v>10745.85</v>
      </c>
      <c r="Q84" s="145">
        <v>44306</v>
      </c>
      <c r="R84" s="143"/>
      <c r="S84" s="146"/>
      <c r="T84" s="146"/>
      <c r="U84" s="146"/>
      <c r="V84" s="151"/>
      <c r="W84" s="144"/>
      <c r="X84" s="107">
        <v>22</v>
      </c>
    </row>
    <row r="85" spans="1:24" s="107" customFormat="1" ht="93.75" x14ac:dyDescent="0.25">
      <c r="A85" s="166">
        <v>23</v>
      </c>
      <c r="B85" s="167" t="s">
        <v>56</v>
      </c>
      <c r="C85" s="167" t="s">
        <v>146</v>
      </c>
      <c r="D85" s="167" t="s">
        <v>243</v>
      </c>
      <c r="E85" s="168" t="s">
        <v>281</v>
      </c>
      <c r="F85" s="196">
        <v>44333</v>
      </c>
      <c r="G85" s="167" t="s">
        <v>282</v>
      </c>
      <c r="H85" s="169">
        <v>1000</v>
      </c>
      <c r="I85" s="170">
        <f>IF(X85 = 23, H85 + SUM(S85:S85) - SUM(T85:T85) - SUM(P85:P85) - V85,0)</f>
        <v>0</v>
      </c>
      <c r="J85" s="167" t="s">
        <v>283</v>
      </c>
      <c r="K85" s="167" t="s">
        <v>284</v>
      </c>
      <c r="L85" s="167" t="s">
        <v>146</v>
      </c>
      <c r="M85" s="167" t="s">
        <v>285</v>
      </c>
      <c r="N85" s="196">
        <v>44339</v>
      </c>
      <c r="O85" s="196" t="s">
        <v>144</v>
      </c>
      <c r="P85" s="169">
        <v>1000</v>
      </c>
      <c r="Q85" s="168">
        <v>44341</v>
      </c>
      <c r="R85" s="167"/>
      <c r="S85" s="169"/>
      <c r="T85" s="169"/>
      <c r="U85" s="169"/>
      <c r="V85" s="171"/>
      <c r="W85" s="163"/>
      <c r="X85" s="107">
        <v>23</v>
      </c>
    </row>
    <row r="86" spans="1:24" s="107" customFormat="1" ht="93.75" x14ac:dyDescent="0.25">
      <c r="A86" s="166">
        <v>24</v>
      </c>
      <c r="B86" s="167" t="s">
        <v>56</v>
      </c>
      <c r="C86" s="167" t="s">
        <v>146</v>
      </c>
      <c r="D86" s="167" t="s">
        <v>243</v>
      </c>
      <c r="E86" s="197">
        <v>43</v>
      </c>
      <c r="F86" s="196">
        <v>44341</v>
      </c>
      <c r="G86" s="167" t="s">
        <v>286</v>
      </c>
      <c r="H86" s="169">
        <v>9380</v>
      </c>
      <c r="I86" s="170">
        <f>IF(X86 = 24, H86 + SUM(S86:S86) - SUM(T86:T86) - SUM(P86:P86) - V86,0)</f>
        <v>0</v>
      </c>
      <c r="J86" s="167" t="s">
        <v>287</v>
      </c>
      <c r="K86" s="167" t="s">
        <v>288</v>
      </c>
      <c r="L86" s="167" t="s">
        <v>146</v>
      </c>
      <c r="M86" s="167"/>
      <c r="N86" s="196">
        <v>44341</v>
      </c>
      <c r="O86" s="196" t="s">
        <v>144</v>
      </c>
      <c r="P86" s="169">
        <v>9380</v>
      </c>
      <c r="Q86" s="168">
        <v>44341</v>
      </c>
      <c r="R86" s="167"/>
      <c r="S86" s="169"/>
      <c r="T86" s="169"/>
      <c r="U86" s="169"/>
      <c r="V86" s="171"/>
      <c r="W86" s="163"/>
      <c r="X86" s="107">
        <v>24</v>
      </c>
    </row>
    <row r="87" spans="1:24" s="107" customFormat="1" ht="93.75" x14ac:dyDescent="0.25">
      <c r="A87" s="166">
        <v>25</v>
      </c>
      <c r="B87" s="167" t="s">
        <v>56</v>
      </c>
      <c r="C87" s="167" t="s">
        <v>146</v>
      </c>
      <c r="D87" s="167" t="s">
        <v>243</v>
      </c>
      <c r="E87" s="197">
        <v>28</v>
      </c>
      <c r="F87" s="196">
        <v>44341</v>
      </c>
      <c r="G87" s="167" t="s">
        <v>289</v>
      </c>
      <c r="H87" s="169">
        <v>12420</v>
      </c>
      <c r="I87" s="170">
        <f>IF(X87 = 25, H87 + SUM(S87:S87) - SUM(T87:T87) - SUM(P87:P87) - V87,0)</f>
        <v>0</v>
      </c>
      <c r="J87" s="167" t="s">
        <v>248</v>
      </c>
      <c r="K87" s="167" t="s">
        <v>247</v>
      </c>
      <c r="L87" s="167" t="s">
        <v>146</v>
      </c>
      <c r="M87" s="167"/>
      <c r="N87" s="196">
        <v>44341</v>
      </c>
      <c r="O87" s="196" t="s">
        <v>144</v>
      </c>
      <c r="P87" s="169">
        <v>12420</v>
      </c>
      <c r="Q87" s="168">
        <v>44347</v>
      </c>
      <c r="R87" s="167"/>
      <c r="S87" s="169"/>
      <c r="T87" s="169"/>
      <c r="U87" s="169"/>
      <c r="V87" s="171"/>
      <c r="W87" s="163"/>
      <c r="X87" s="107">
        <v>25</v>
      </c>
    </row>
    <row r="88" spans="1:24" s="107" customFormat="1" ht="93.75" x14ac:dyDescent="0.25">
      <c r="A88" s="166">
        <v>26</v>
      </c>
      <c r="B88" s="167" t="s">
        <v>56</v>
      </c>
      <c r="C88" s="167" t="s">
        <v>146</v>
      </c>
      <c r="D88" s="167" t="s">
        <v>243</v>
      </c>
      <c r="E88" s="197">
        <v>12</v>
      </c>
      <c r="F88" s="196">
        <v>44344</v>
      </c>
      <c r="G88" s="167" t="s">
        <v>290</v>
      </c>
      <c r="H88" s="169">
        <v>880</v>
      </c>
      <c r="I88" s="170">
        <f>IF(X88 = 26, H88 + SUM(S88:S88) - SUM(T88:T88) - SUM(P88:P88) - V88,0)</f>
        <v>0</v>
      </c>
      <c r="J88" s="167" t="s">
        <v>291</v>
      </c>
      <c r="K88" s="167" t="s">
        <v>292</v>
      </c>
      <c r="L88" s="167" t="s">
        <v>146</v>
      </c>
      <c r="M88" s="167"/>
      <c r="N88" s="196">
        <v>44344</v>
      </c>
      <c r="O88" s="196" t="s">
        <v>144</v>
      </c>
      <c r="P88" s="169">
        <v>880</v>
      </c>
      <c r="Q88" s="168">
        <v>44347</v>
      </c>
      <c r="R88" s="167"/>
      <c r="S88" s="169"/>
      <c r="T88" s="169"/>
      <c r="U88" s="169"/>
      <c r="V88" s="171"/>
      <c r="W88" s="163"/>
      <c r="X88" s="107">
        <v>26</v>
      </c>
    </row>
    <row r="89" spans="1:24" s="107" customFormat="1" ht="93.75" x14ac:dyDescent="0.25">
      <c r="A89" s="199">
        <v>27</v>
      </c>
      <c r="B89" s="167" t="s">
        <v>56</v>
      </c>
      <c r="C89" s="200" t="s">
        <v>146</v>
      </c>
      <c r="D89" s="200" t="s">
        <v>243</v>
      </c>
      <c r="E89" s="201">
        <v>201</v>
      </c>
      <c r="F89" s="206">
        <v>44348</v>
      </c>
      <c r="G89" s="200" t="s">
        <v>297</v>
      </c>
      <c r="H89" s="202">
        <v>15562</v>
      </c>
      <c r="I89" s="203">
        <f>IF(X89 = 27, H89 + SUM(S89:S89) - SUM(T89:T89) - SUM(P89:P89) - V89,0)</f>
        <v>0</v>
      </c>
      <c r="J89" s="200" t="s">
        <v>197</v>
      </c>
      <c r="K89" s="200" t="s">
        <v>198</v>
      </c>
      <c r="L89" s="200" t="s">
        <v>146</v>
      </c>
      <c r="M89" s="200"/>
      <c r="N89" s="206">
        <v>44348</v>
      </c>
      <c r="O89" s="206" t="s">
        <v>144</v>
      </c>
      <c r="P89" s="202">
        <v>15562</v>
      </c>
      <c r="Q89" s="204">
        <v>44357</v>
      </c>
      <c r="R89" s="200"/>
      <c r="S89" s="202"/>
      <c r="T89" s="202"/>
      <c r="U89" s="202"/>
      <c r="V89" s="205"/>
      <c r="W89" s="198"/>
      <c r="X89" s="107">
        <v>27</v>
      </c>
    </row>
    <row r="90" spans="1:24" s="107" customFormat="1" ht="93.75" x14ac:dyDescent="0.25">
      <c r="A90" s="199">
        <v>28</v>
      </c>
      <c r="B90" s="167" t="s">
        <v>56</v>
      </c>
      <c r="C90" s="200" t="s">
        <v>146</v>
      </c>
      <c r="D90" s="200" t="s">
        <v>243</v>
      </c>
      <c r="E90" s="201">
        <v>42</v>
      </c>
      <c r="F90" s="206">
        <v>44354</v>
      </c>
      <c r="G90" s="200" t="s">
        <v>298</v>
      </c>
      <c r="H90" s="202">
        <v>2765</v>
      </c>
      <c r="I90" s="203">
        <f>IF(X90 = 28, H90 + SUM(S90:S90) - SUM(T90:T90) - SUM(P90:P90) - V90,0)</f>
        <v>0</v>
      </c>
      <c r="J90" s="200" t="s">
        <v>299</v>
      </c>
      <c r="K90" s="200" t="s">
        <v>300</v>
      </c>
      <c r="L90" s="200" t="s">
        <v>146</v>
      </c>
      <c r="M90" s="200"/>
      <c r="N90" s="206">
        <v>44354</v>
      </c>
      <c r="O90" s="206" t="s">
        <v>144</v>
      </c>
      <c r="P90" s="202">
        <v>2765</v>
      </c>
      <c r="Q90" s="204">
        <v>44363</v>
      </c>
      <c r="R90" s="200"/>
      <c r="S90" s="202"/>
      <c r="T90" s="202"/>
      <c r="U90" s="202"/>
      <c r="V90" s="205"/>
      <c r="W90" s="198"/>
      <c r="X90" s="107">
        <v>28</v>
      </c>
    </row>
    <row r="91" spans="1:24" s="107" customFormat="1" ht="93.75" x14ac:dyDescent="0.25">
      <c r="A91" s="199">
        <v>29</v>
      </c>
      <c r="B91" s="200" t="s">
        <v>56</v>
      </c>
      <c r="C91" s="200" t="s">
        <v>146</v>
      </c>
      <c r="D91" s="200" t="s">
        <v>243</v>
      </c>
      <c r="E91" s="249">
        <v>44348</v>
      </c>
      <c r="F91" s="235">
        <v>44358</v>
      </c>
      <c r="G91" s="200" t="s">
        <v>308</v>
      </c>
      <c r="H91" s="202">
        <v>300000</v>
      </c>
      <c r="I91" s="203">
        <f>IF(X91 = 29, H91 + SUM(S91:S91) - SUM(T91:T91) - SUM(P91:P91) - V91,0)</f>
        <v>0</v>
      </c>
      <c r="J91" s="200" t="s">
        <v>309</v>
      </c>
      <c r="K91" s="200" t="s">
        <v>310</v>
      </c>
      <c r="L91" s="200" t="s">
        <v>146</v>
      </c>
      <c r="M91" s="200" t="s">
        <v>365</v>
      </c>
      <c r="N91" s="235">
        <v>44439</v>
      </c>
      <c r="O91" s="235" t="s">
        <v>144</v>
      </c>
      <c r="P91" s="202">
        <v>300000</v>
      </c>
      <c r="Q91" s="204">
        <v>44442</v>
      </c>
      <c r="R91" s="200"/>
      <c r="S91" s="202"/>
      <c r="T91" s="202"/>
      <c r="U91" s="202"/>
      <c r="V91" s="205"/>
      <c r="W91" s="211"/>
      <c r="X91" s="107">
        <v>29</v>
      </c>
    </row>
    <row r="92" spans="1:24" s="107" customFormat="1" ht="93.75" x14ac:dyDescent="0.25">
      <c r="A92" s="199">
        <v>30</v>
      </c>
      <c r="B92" s="200" t="s">
        <v>56</v>
      </c>
      <c r="C92" s="200" t="s">
        <v>146</v>
      </c>
      <c r="D92" s="200" t="s">
        <v>243</v>
      </c>
      <c r="E92" s="249">
        <v>141</v>
      </c>
      <c r="F92" s="235">
        <v>44370</v>
      </c>
      <c r="G92" s="200" t="s">
        <v>314</v>
      </c>
      <c r="H92" s="202">
        <v>13500</v>
      </c>
      <c r="I92" s="203">
        <f>IF(X92 = 30, H92 + SUM(S92:S92) - SUM(T92:T92) - SUM(P92:P92) - V92,0)</f>
        <v>0</v>
      </c>
      <c r="J92" s="200" t="s">
        <v>315</v>
      </c>
      <c r="K92" s="200" t="s">
        <v>316</v>
      </c>
      <c r="L92" s="200" t="s">
        <v>146</v>
      </c>
      <c r="M92" s="200" t="s">
        <v>317</v>
      </c>
      <c r="N92" s="235">
        <v>44382</v>
      </c>
      <c r="O92" s="235" t="s">
        <v>144</v>
      </c>
      <c r="P92" s="202">
        <v>13500</v>
      </c>
      <c r="Q92" s="204">
        <v>44375</v>
      </c>
      <c r="R92" s="200"/>
      <c r="S92" s="202"/>
      <c r="T92" s="202"/>
      <c r="U92" s="202"/>
      <c r="V92" s="205"/>
      <c r="W92" s="211"/>
      <c r="X92" s="107">
        <v>30</v>
      </c>
    </row>
    <row r="93" spans="1:24" s="107" customFormat="1" ht="93.75" x14ac:dyDescent="0.25">
      <c r="A93" s="219">
        <v>31</v>
      </c>
      <c r="B93" s="200" t="s">
        <v>56</v>
      </c>
      <c r="C93" s="220" t="s">
        <v>146</v>
      </c>
      <c r="D93" s="220" t="s">
        <v>243</v>
      </c>
      <c r="E93" s="250">
        <v>44</v>
      </c>
      <c r="F93" s="248">
        <v>44376</v>
      </c>
      <c r="G93" s="220" t="s">
        <v>330</v>
      </c>
      <c r="H93" s="222">
        <v>21980</v>
      </c>
      <c r="I93" s="223">
        <f>IF(X93 = 31, H93 + SUM(S93:S93) - SUM(T93:T93) - SUM(P93:P93) - V93,0)</f>
        <v>0</v>
      </c>
      <c r="J93" s="220" t="s">
        <v>287</v>
      </c>
      <c r="K93" s="220" t="s">
        <v>331</v>
      </c>
      <c r="L93" s="220" t="s">
        <v>146</v>
      </c>
      <c r="M93" s="220"/>
      <c r="N93" s="248">
        <v>44376</v>
      </c>
      <c r="O93" s="235" t="s">
        <v>144</v>
      </c>
      <c r="P93" s="222">
        <v>21980</v>
      </c>
      <c r="Q93" s="221">
        <v>44376</v>
      </c>
      <c r="R93" s="220"/>
      <c r="S93" s="222"/>
      <c r="T93" s="222"/>
      <c r="U93" s="222"/>
      <c r="V93" s="227"/>
      <c r="W93" s="228"/>
      <c r="X93" s="107">
        <v>31</v>
      </c>
    </row>
    <row r="94" spans="1:24" s="107" customFormat="1" ht="93.75" x14ac:dyDescent="0.25">
      <c r="A94" s="219">
        <v>32</v>
      </c>
      <c r="B94" s="200" t="s">
        <v>56</v>
      </c>
      <c r="C94" s="220" t="s">
        <v>146</v>
      </c>
      <c r="D94" s="220" t="s">
        <v>243</v>
      </c>
      <c r="E94" s="250">
        <v>5</v>
      </c>
      <c r="F94" s="248">
        <v>44377</v>
      </c>
      <c r="G94" s="220" t="s">
        <v>334</v>
      </c>
      <c r="H94" s="222">
        <v>1200</v>
      </c>
      <c r="I94" s="223">
        <f>IF(X94 = 32, H94 + SUM(S94:S94) - SUM(T94:T94) - SUM(P94:P94) - V94,0)</f>
        <v>0</v>
      </c>
      <c r="J94" s="220" t="s">
        <v>60</v>
      </c>
      <c r="K94" s="220" t="s">
        <v>335</v>
      </c>
      <c r="L94" s="220" t="s">
        <v>146</v>
      </c>
      <c r="M94" s="220" t="s">
        <v>336</v>
      </c>
      <c r="N94" s="248">
        <v>44408</v>
      </c>
      <c r="O94" s="235" t="s">
        <v>144</v>
      </c>
      <c r="P94" s="222">
        <v>1200</v>
      </c>
      <c r="Q94" s="221">
        <v>44445</v>
      </c>
      <c r="R94" s="220"/>
      <c r="S94" s="222"/>
      <c r="T94" s="222"/>
      <c r="U94" s="222"/>
      <c r="V94" s="227"/>
      <c r="W94" s="228"/>
      <c r="X94" s="107">
        <v>32</v>
      </c>
    </row>
    <row r="95" spans="1:24" s="107" customFormat="1" ht="93.75" x14ac:dyDescent="0.25">
      <c r="A95" s="219">
        <v>33</v>
      </c>
      <c r="B95" s="200" t="s">
        <v>56</v>
      </c>
      <c r="C95" s="220" t="s">
        <v>146</v>
      </c>
      <c r="D95" s="220" t="s">
        <v>243</v>
      </c>
      <c r="E95" s="251" t="s">
        <v>337</v>
      </c>
      <c r="F95" s="248">
        <v>44440</v>
      </c>
      <c r="G95" s="220" t="s">
        <v>338</v>
      </c>
      <c r="H95" s="222">
        <v>40308</v>
      </c>
      <c r="I95" s="223">
        <f>IF(X95 = 33, H95 + SUM(S95:S95) - SUM(T95:T95) - SUM(P95:P95) - V95,0)</f>
        <v>0</v>
      </c>
      <c r="J95" s="220" t="s">
        <v>339</v>
      </c>
      <c r="K95" s="220" t="s">
        <v>340</v>
      </c>
      <c r="L95" s="220" t="s">
        <v>146</v>
      </c>
      <c r="M95" s="220" t="s">
        <v>341</v>
      </c>
      <c r="N95" s="248">
        <v>44444</v>
      </c>
      <c r="O95" s="235" t="s">
        <v>144</v>
      </c>
      <c r="P95" s="222">
        <v>40308</v>
      </c>
      <c r="Q95" s="221">
        <v>44446</v>
      </c>
      <c r="R95" s="220"/>
      <c r="S95" s="222"/>
      <c r="T95" s="222"/>
      <c r="U95" s="222"/>
      <c r="V95" s="227"/>
      <c r="W95" s="228"/>
      <c r="X95" s="107">
        <v>33</v>
      </c>
    </row>
    <row r="96" spans="1:24" s="107" customFormat="1" ht="93.75" x14ac:dyDescent="0.25">
      <c r="A96" s="219">
        <v>34</v>
      </c>
      <c r="B96" s="200" t="s">
        <v>56</v>
      </c>
      <c r="C96" s="220" t="s">
        <v>146</v>
      </c>
      <c r="D96" s="220" t="s">
        <v>243</v>
      </c>
      <c r="E96" s="251">
        <v>446</v>
      </c>
      <c r="F96" s="248">
        <v>44379</v>
      </c>
      <c r="G96" s="220" t="s">
        <v>342</v>
      </c>
      <c r="H96" s="222">
        <v>7680</v>
      </c>
      <c r="I96" s="223">
        <f>IF(X96 = 34, H96 + SUM(S96:S96) - SUM(T96:T96) - SUM(P96:P96) - V96,0)</f>
        <v>0</v>
      </c>
      <c r="J96" s="220" t="s">
        <v>241</v>
      </c>
      <c r="K96" s="220" t="s">
        <v>242</v>
      </c>
      <c r="L96" s="220" t="s">
        <v>146</v>
      </c>
      <c r="M96" s="220"/>
      <c r="N96" s="248">
        <v>44387</v>
      </c>
      <c r="O96" s="235" t="s">
        <v>144</v>
      </c>
      <c r="P96" s="222">
        <v>7680</v>
      </c>
      <c r="Q96" s="221">
        <v>44389</v>
      </c>
      <c r="R96" s="220"/>
      <c r="S96" s="222"/>
      <c r="T96" s="222"/>
      <c r="U96" s="222"/>
      <c r="V96" s="227"/>
      <c r="W96" s="228"/>
      <c r="X96" s="107">
        <v>34</v>
      </c>
    </row>
    <row r="97" spans="1:24" s="107" customFormat="1" ht="93.75" x14ac:dyDescent="0.25">
      <c r="A97" s="219">
        <v>35</v>
      </c>
      <c r="B97" s="200" t="s">
        <v>56</v>
      </c>
      <c r="C97" s="220" t="s">
        <v>146</v>
      </c>
      <c r="D97" s="220" t="s">
        <v>243</v>
      </c>
      <c r="E97" s="251">
        <v>62</v>
      </c>
      <c r="F97" s="248">
        <v>44382</v>
      </c>
      <c r="G97" s="220" t="s">
        <v>343</v>
      </c>
      <c r="H97" s="222">
        <v>42490</v>
      </c>
      <c r="I97" s="223">
        <f>IF(X97 = 35, H97 + SUM(S97:S97) - SUM(T97:T97) - SUM(P97:P97) - V97,0)</f>
        <v>0</v>
      </c>
      <c r="J97" s="220" t="s">
        <v>344</v>
      </c>
      <c r="K97" s="220" t="s">
        <v>345</v>
      </c>
      <c r="L97" s="220" t="s">
        <v>146</v>
      </c>
      <c r="M97" s="220"/>
      <c r="N97" s="248">
        <v>44387</v>
      </c>
      <c r="O97" s="235" t="s">
        <v>144</v>
      </c>
      <c r="P97" s="222">
        <v>42490</v>
      </c>
      <c r="Q97" s="221">
        <v>44389</v>
      </c>
      <c r="R97" s="220"/>
      <c r="S97" s="222"/>
      <c r="T97" s="222"/>
      <c r="U97" s="222"/>
      <c r="V97" s="227"/>
      <c r="W97" s="228"/>
      <c r="X97" s="107">
        <v>35</v>
      </c>
    </row>
    <row r="98" spans="1:24" s="107" customFormat="1" ht="93.75" x14ac:dyDescent="0.25">
      <c r="A98" s="219">
        <v>36</v>
      </c>
      <c r="B98" s="200" t="s">
        <v>56</v>
      </c>
      <c r="C98" s="220" t="s">
        <v>146</v>
      </c>
      <c r="D98" s="220" t="s">
        <v>243</v>
      </c>
      <c r="E98" s="251">
        <v>295</v>
      </c>
      <c r="F98" s="248">
        <v>44391</v>
      </c>
      <c r="G98" s="220" t="s">
        <v>346</v>
      </c>
      <c r="H98" s="222">
        <v>2100</v>
      </c>
      <c r="I98" s="223">
        <f>IF(X98 = 36, H98 + SUM(S98:S98) - SUM(T98:T98) - SUM(P98:P98) - V98,0)</f>
        <v>0</v>
      </c>
      <c r="J98" s="220" t="s">
        <v>197</v>
      </c>
      <c r="K98" s="220" t="s">
        <v>198</v>
      </c>
      <c r="L98" s="220" t="s">
        <v>146</v>
      </c>
      <c r="M98" s="220"/>
      <c r="N98" s="248">
        <v>44397</v>
      </c>
      <c r="O98" s="235" t="s">
        <v>144</v>
      </c>
      <c r="P98" s="222">
        <v>2100</v>
      </c>
      <c r="Q98" s="221">
        <v>44399</v>
      </c>
      <c r="R98" s="220"/>
      <c r="S98" s="222"/>
      <c r="T98" s="222"/>
      <c r="U98" s="222"/>
      <c r="V98" s="227"/>
      <c r="W98" s="228"/>
      <c r="X98" s="107">
        <v>36</v>
      </c>
    </row>
    <row r="99" spans="1:24" s="107" customFormat="1" ht="93.75" x14ac:dyDescent="0.25">
      <c r="A99" s="219">
        <v>37</v>
      </c>
      <c r="B99" s="200" t="s">
        <v>56</v>
      </c>
      <c r="C99" s="220" t="s">
        <v>146</v>
      </c>
      <c r="D99" s="220" t="s">
        <v>243</v>
      </c>
      <c r="E99" s="251">
        <v>39</v>
      </c>
      <c r="F99" s="248">
        <v>44392</v>
      </c>
      <c r="G99" s="220" t="s">
        <v>348</v>
      </c>
      <c r="H99" s="222">
        <v>2200</v>
      </c>
      <c r="I99" s="223">
        <f>IF(X99 = 37, H99 + SUM(S99:S99) - SUM(T99:T99) - SUM(P99:P99) - V99,0)</f>
        <v>0</v>
      </c>
      <c r="J99" s="220" t="s">
        <v>347</v>
      </c>
      <c r="K99" s="220" t="s">
        <v>198</v>
      </c>
      <c r="L99" s="220" t="s">
        <v>146</v>
      </c>
      <c r="M99" s="220"/>
      <c r="N99" s="248">
        <v>44408</v>
      </c>
      <c r="O99" s="235" t="s">
        <v>144</v>
      </c>
      <c r="P99" s="222">
        <v>2200</v>
      </c>
      <c r="Q99" s="221">
        <v>44410</v>
      </c>
      <c r="R99" s="220"/>
      <c r="S99" s="222"/>
      <c r="T99" s="222"/>
      <c r="U99" s="222"/>
      <c r="V99" s="227"/>
      <c r="W99" s="228"/>
      <c r="X99" s="107">
        <v>37</v>
      </c>
    </row>
    <row r="100" spans="1:24" s="107" customFormat="1" ht="93.75" customHeight="1" x14ac:dyDescent="0.25">
      <c r="A100" s="257">
        <v>38</v>
      </c>
      <c r="B100" s="255" t="s">
        <v>56</v>
      </c>
      <c r="C100" s="255" t="s">
        <v>146</v>
      </c>
      <c r="D100" s="255" t="s">
        <v>243</v>
      </c>
      <c r="E100" s="258">
        <v>63</v>
      </c>
      <c r="F100" s="256">
        <v>44395</v>
      </c>
      <c r="G100" s="255" t="s">
        <v>349</v>
      </c>
      <c r="H100" s="253">
        <v>7840</v>
      </c>
      <c r="I100" s="259">
        <f>IF(X100 = 38, H100 + SUM(S100:S100) - SUM(T100:T100) - SUM(P100:P100) - V100,0)</f>
        <v>0</v>
      </c>
      <c r="J100" s="255" t="s">
        <v>350</v>
      </c>
      <c r="K100" s="255" t="s">
        <v>351</v>
      </c>
      <c r="L100" s="255" t="s">
        <v>146</v>
      </c>
      <c r="M100" s="255" t="s">
        <v>352</v>
      </c>
      <c r="N100" s="256">
        <v>44419</v>
      </c>
      <c r="O100" s="256" t="s">
        <v>144</v>
      </c>
      <c r="P100" s="253">
        <v>7840</v>
      </c>
      <c r="Q100" s="254">
        <v>44428</v>
      </c>
      <c r="R100" s="255"/>
      <c r="S100" s="253"/>
      <c r="T100" s="253"/>
      <c r="U100" s="253"/>
      <c r="V100" s="260"/>
      <c r="W100" s="261"/>
      <c r="X100" s="107">
        <v>38</v>
      </c>
    </row>
    <row r="101" spans="1:24" s="107" customFormat="1" ht="93.75" x14ac:dyDescent="0.25">
      <c r="A101" s="262">
        <v>39</v>
      </c>
      <c r="B101" s="263" t="s">
        <v>56</v>
      </c>
      <c r="C101" s="264" t="s">
        <v>146</v>
      </c>
      <c r="D101" s="264" t="s">
        <v>243</v>
      </c>
      <c r="E101" s="265">
        <v>9</v>
      </c>
      <c r="F101" s="266">
        <v>44395</v>
      </c>
      <c r="G101" s="263" t="s">
        <v>349</v>
      </c>
      <c r="H101" s="267">
        <v>8400</v>
      </c>
      <c r="I101" s="268">
        <f>IF(X101 = 39, H101 + SUM(S101:S101) - SUM(T101:T101) - SUM(P101:P101) - V101,0)</f>
        <v>0</v>
      </c>
      <c r="J101" s="263" t="s">
        <v>350</v>
      </c>
      <c r="K101" s="263" t="s">
        <v>351</v>
      </c>
      <c r="L101" s="264" t="s">
        <v>146</v>
      </c>
      <c r="M101" s="264" t="s">
        <v>353</v>
      </c>
      <c r="N101" s="266">
        <v>44411</v>
      </c>
      <c r="O101" s="269" t="s">
        <v>144</v>
      </c>
      <c r="P101" s="267">
        <v>8400</v>
      </c>
      <c r="Q101" s="270">
        <v>44428</v>
      </c>
      <c r="R101" s="264"/>
      <c r="S101" s="267"/>
      <c r="T101" s="267"/>
      <c r="U101" s="267"/>
      <c r="V101" s="271"/>
      <c r="W101" s="272"/>
      <c r="X101" s="107">
        <v>39</v>
      </c>
    </row>
    <row r="102" spans="1:24" s="107" customFormat="1" ht="93.75" x14ac:dyDescent="0.25">
      <c r="A102" s="262">
        <v>40</v>
      </c>
      <c r="B102" s="263" t="s">
        <v>56</v>
      </c>
      <c r="C102" s="264" t="s">
        <v>146</v>
      </c>
      <c r="D102" s="264" t="s">
        <v>243</v>
      </c>
      <c r="E102" s="265">
        <v>359</v>
      </c>
      <c r="F102" s="266">
        <v>44403</v>
      </c>
      <c r="G102" s="264" t="s">
        <v>354</v>
      </c>
      <c r="H102" s="267">
        <v>900</v>
      </c>
      <c r="I102" s="268">
        <f>IF(X102 = 40, H102 + SUM(S102:S102) - SUM(T102:T102) - SUM(P102:P102) - V102,0)</f>
        <v>0</v>
      </c>
      <c r="J102" s="264" t="s">
        <v>223</v>
      </c>
      <c r="K102" s="264" t="s">
        <v>222</v>
      </c>
      <c r="L102" s="264" t="s">
        <v>146</v>
      </c>
      <c r="M102" s="264" t="s">
        <v>355</v>
      </c>
      <c r="N102" s="266">
        <v>44415</v>
      </c>
      <c r="O102" s="269" t="s">
        <v>144</v>
      </c>
      <c r="P102" s="267">
        <v>900</v>
      </c>
      <c r="Q102" s="270">
        <v>44417</v>
      </c>
      <c r="R102" s="264"/>
      <c r="S102" s="267"/>
      <c r="T102" s="267"/>
      <c r="U102" s="267"/>
      <c r="V102" s="271"/>
      <c r="W102" s="272"/>
      <c r="X102" s="107">
        <v>40</v>
      </c>
    </row>
    <row r="103" spans="1:24" s="107" customFormat="1" ht="93.75" x14ac:dyDescent="0.25">
      <c r="A103" s="262">
        <v>41</v>
      </c>
      <c r="B103" s="264" t="s">
        <v>56</v>
      </c>
      <c r="C103" s="264" t="s">
        <v>146</v>
      </c>
      <c r="D103" s="264" t="s">
        <v>243</v>
      </c>
      <c r="E103" s="265">
        <v>14</v>
      </c>
      <c r="F103" s="266">
        <v>44410</v>
      </c>
      <c r="G103" s="264" t="s">
        <v>356</v>
      </c>
      <c r="H103" s="267">
        <v>1540</v>
      </c>
      <c r="I103" s="268">
        <f>IF(X103 = 41, H103 + SUM(S103:S103) - SUM(T103:T103) - SUM(P103:P103) - V103,0)</f>
        <v>0</v>
      </c>
      <c r="J103" s="264" t="s">
        <v>357</v>
      </c>
      <c r="K103" s="264" t="s">
        <v>358</v>
      </c>
      <c r="L103" s="264" t="s">
        <v>146</v>
      </c>
      <c r="M103" s="264" t="s">
        <v>352</v>
      </c>
      <c r="N103" s="266">
        <v>44419</v>
      </c>
      <c r="O103" s="266" t="s">
        <v>144</v>
      </c>
      <c r="P103" s="267">
        <v>1540</v>
      </c>
      <c r="Q103" s="270">
        <v>44428</v>
      </c>
      <c r="R103" s="264"/>
      <c r="S103" s="267"/>
      <c r="T103" s="267"/>
      <c r="U103" s="267"/>
      <c r="V103" s="271"/>
      <c r="W103" s="272"/>
      <c r="X103" s="107">
        <v>41</v>
      </c>
    </row>
    <row r="104" spans="1:24" s="107" customFormat="1" ht="93.75" x14ac:dyDescent="0.25">
      <c r="A104" s="282">
        <v>42</v>
      </c>
      <c r="B104" s="264" t="s">
        <v>56</v>
      </c>
      <c r="C104" s="283" t="s">
        <v>146</v>
      </c>
      <c r="D104" s="283" t="s">
        <v>243</v>
      </c>
      <c r="E104" s="291" t="s">
        <v>296</v>
      </c>
      <c r="F104" s="292">
        <v>44431</v>
      </c>
      <c r="G104" s="283" t="s">
        <v>360</v>
      </c>
      <c r="H104" s="285">
        <v>9982.58</v>
      </c>
      <c r="I104" s="286">
        <f>IF(X104 = 42, H104 + SUM(S104:S104) - SUM(T104:T104) - SUM(P104:P104) - V104,0)</f>
        <v>0</v>
      </c>
      <c r="J104" s="283" t="s">
        <v>361</v>
      </c>
      <c r="K104" s="283" t="s">
        <v>362</v>
      </c>
      <c r="L104" s="283" t="s">
        <v>146</v>
      </c>
      <c r="M104" s="283"/>
      <c r="N104" s="292">
        <v>44431</v>
      </c>
      <c r="O104" s="266" t="s">
        <v>144</v>
      </c>
      <c r="P104" s="285">
        <v>9982.58</v>
      </c>
      <c r="Q104" s="284">
        <v>44439</v>
      </c>
      <c r="R104" s="283"/>
      <c r="S104" s="285"/>
      <c r="T104" s="285"/>
      <c r="U104" s="285"/>
      <c r="V104" s="288"/>
      <c r="W104" s="287"/>
      <c r="X104" s="107">
        <v>42</v>
      </c>
    </row>
    <row r="105" spans="1:24" s="107" customFormat="1" ht="93.75" x14ac:dyDescent="0.25">
      <c r="A105" s="282">
        <v>43</v>
      </c>
      <c r="B105" s="283" t="s">
        <v>56</v>
      </c>
      <c r="C105" s="283" t="s">
        <v>146</v>
      </c>
      <c r="D105" s="283" t="s">
        <v>243</v>
      </c>
      <c r="E105" s="291">
        <v>328</v>
      </c>
      <c r="F105" s="292">
        <v>44434</v>
      </c>
      <c r="G105" s="283" t="s">
        <v>364</v>
      </c>
      <c r="H105" s="285">
        <v>33225</v>
      </c>
      <c r="I105" s="286">
        <f>IF(X105 = 43, H105 + SUM(S105:S105) - SUM(T105:T105) - SUM(P105:P105) - V105,0)</f>
        <v>0</v>
      </c>
      <c r="J105" s="283" t="s">
        <v>197</v>
      </c>
      <c r="K105" s="283" t="s">
        <v>198</v>
      </c>
      <c r="L105" s="283" t="s">
        <v>146</v>
      </c>
      <c r="M105" s="283" t="s">
        <v>363</v>
      </c>
      <c r="N105" s="292">
        <v>44446</v>
      </c>
      <c r="O105" s="292" t="s">
        <v>144</v>
      </c>
      <c r="P105" s="285">
        <v>33225</v>
      </c>
      <c r="Q105" s="284">
        <v>44441</v>
      </c>
      <c r="R105" s="283"/>
      <c r="S105" s="285"/>
      <c r="T105" s="285"/>
      <c r="U105" s="285"/>
      <c r="V105" s="288"/>
      <c r="W105" s="287"/>
      <c r="X105" s="107">
        <v>43</v>
      </c>
    </row>
    <row r="106" spans="1:24" s="107" customFormat="1" ht="93.75" x14ac:dyDescent="0.25">
      <c r="A106" s="303">
        <v>44</v>
      </c>
      <c r="B106" s="283" t="s">
        <v>56</v>
      </c>
      <c r="C106" s="304" t="s">
        <v>146</v>
      </c>
      <c r="D106" s="304" t="s">
        <v>243</v>
      </c>
      <c r="E106" s="305" t="s">
        <v>366</v>
      </c>
      <c r="F106" s="306">
        <v>44431</v>
      </c>
      <c r="G106" s="304" t="s">
        <v>367</v>
      </c>
      <c r="H106" s="307">
        <v>8000</v>
      </c>
      <c r="I106" s="308">
        <f>IF(X106 = 44, H106 + SUM(S106:S106) - SUM(T106:T106) - SUM(P106:P106) - V106,0)</f>
        <v>0</v>
      </c>
      <c r="J106" s="304" t="s">
        <v>368</v>
      </c>
      <c r="K106" s="304" t="s">
        <v>369</v>
      </c>
      <c r="L106" s="304" t="s">
        <v>146</v>
      </c>
      <c r="M106" s="304" t="s">
        <v>389</v>
      </c>
      <c r="N106" s="306">
        <v>44443</v>
      </c>
      <c r="O106" s="292" t="s">
        <v>144</v>
      </c>
      <c r="P106" s="307">
        <v>8000</v>
      </c>
      <c r="Q106" s="309">
        <v>44446</v>
      </c>
      <c r="R106" s="304"/>
      <c r="S106" s="307"/>
      <c r="T106" s="307"/>
      <c r="U106" s="307"/>
      <c r="V106" s="310"/>
      <c r="W106" s="311"/>
      <c r="X106" s="107">
        <v>44</v>
      </c>
    </row>
    <row r="107" spans="1:24" s="107" customFormat="1" ht="93.75" x14ac:dyDescent="0.25">
      <c r="A107" s="303">
        <v>45</v>
      </c>
      <c r="B107" s="283" t="s">
        <v>56</v>
      </c>
      <c r="C107" s="304" t="s">
        <v>146</v>
      </c>
      <c r="D107" s="304" t="s">
        <v>147</v>
      </c>
      <c r="E107" s="305">
        <v>102</v>
      </c>
      <c r="F107" s="306">
        <v>44442</v>
      </c>
      <c r="G107" s="304" t="s">
        <v>289</v>
      </c>
      <c r="H107" s="307">
        <v>12960</v>
      </c>
      <c r="I107" s="308">
        <f>IF(X107 = 45, H107 + SUM(S107:S107) - SUM(T107:T107) - SUM(P107:P107) - V107,0)</f>
        <v>0</v>
      </c>
      <c r="J107" s="304" t="s">
        <v>248</v>
      </c>
      <c r="K107" s="304" t="s">
        <v>247</v>
      </c>
      <c r="L107" s="304" t="s">
        <v>146</v>
      </c>
      <c r="M107" s="304"/>
      <c r="N107" s="306">
        <v>44447</v>
      </c>
      <c r="O107" s="292" t="s">
        <v>144</v>
      </c>
      <c r="P107" s="307">
        <v>12960</v>
      </c>
      <c r="Q107" s="309">
        <v>44447</v>
      </c>
      <c r="R107" s="304"/>
      <c r="S107" s="307"/>
      <c r="T107" s="307"/>
      <c r="U107" s="307"/>
      <c r="V107" s="310"/>
      <c r="W107" s="311"/>
      <c r="X107" s="107">
        <v>45</v>
      </c>
    </row>
    <row r="108" spans="1:24" s="107" customFormat="1" ht="93.75" x14ac:dyDescent="0.25">
      <c r="A108" s="275">
        <v>46</v>
      </c>
      <c r="B108" s="283" t="s">
        <v>56</v>
      </c>
      <c r="C108" s="274" t="s">
        <v>146</v>
      </c>
      <c r="D108" s="274" t="s">
        <v>147</v>
      </c>
      <c r="E108" s="289">
        <v>561</v>
      </c>
      <c r="F108" s="313">
        <v>44447</v>
      </c>
      <c r="G108" s="274" t="s">
        <v>372</v>
      </c>
      <c r="H108" s="276">
        <v>4000</v>
      </c>
      <c r="I108" s="280">
        <f>IF(X108 = 47, H108 + SUM(S108:S108) - SUM(T108:T108) - SUM(P108:P108) - V108,0)</f>
        <v>0</v>
      </c>
      <c r="J108" s="274" t="s">
        <v>373</v>
      </c>
      <c r="K108" s="274" t="s">
        <v>176</v>
      </c>
      <c r="L108" s="274" t="s">
        <v>146</v>
      </c>
      <c r="M108" s="274"/>
      <c r="N108" s="313"/>
      <c r="O108" s="292" t="s">
        <v>144</v>
      </c>
      <c r="P108" s="276">
        <v>4000</v>
      </c>
      <c r="Q108" s="279">
        <v>44449</v>
      </c>
      <c r="R108" s="274"/>
      <c r="S108" s="276"/>
      <c r="T108" s="276"/>
      <c r="U108" s="276"/>
      <c r="V108" s="277"/>
      <c r="W108" s="278"/>
      <c r="X108" s="107">
        <v>47</v>
      </c>
    </row>
    <row r="109" spans="1:24" s="107" customFormat="1" ht="93.75" customHeight="1" x14ac:dyDescent="0.25">
      <c r="A109" s="705">
        <v>47</v>
      </c>
      <c r="B109" s="707" t="s">
        <v>56</v>
      </c>
      <c r="C109" s="707" t="s">
        <v>146</v>
      </c>
      <c r="D109" s="707" t="s">
        <v>147</v>
      </c>
      <c r="E109" s="756">
        <v>72</v>
      </c>
      <c r="F109" s="744">
        <v>44439</v>
      </c>
      <c r="G109" s="707" t="s">
        <v>374</v>
      </c>
      <c r="H109" s="709">
        <v>200640</v>
      </c>
      <c r="I109" s="710">
        <f>IF(X109 = 48, H109 + SUM(S109:S116) - SUM(T109:T116) - SUM(P109:P116) - V109,0)</f>
        <v>74689</v>
      </c>
      <c r="J109" s="707" t="s">
        <v>371</v>
      </c>
      <c r="K109" s="707" t="s">
        <v>173</v>
      </c>
      <c r="L109" s="707" t="s">
        <v>375</v>
      </c>
      <c r="M109" s="707"/>
      <c r="N109" s="747"/>
      <c r="O109" s="744" t="s">
        <v>144</v>
      </c>
      <c r="P109" s="713">
        <v>18696</v>
      </c>
      <c r="Q109" s="714">
        <v>44467</v>
      </c>
      <c r="R109" s="715"/>
      <c r="S109" s="713"/>
      <c r="T109" s="713"/>
      <c r="U109" s="709"/>
      <c r="V109" s="753"/>
      <c r="W109" s="717"/>
      <c r="X109" s="107">
        <v>48</v>
      </c>
    </row>
    <row r="110" spans="1:24" s="281" customFormat="1" x14ac:dyDescent="0.25">
      <c r="A110" s="718"/>
      <c r="B110" s="720"/>
      <c r="C110" s="720"/>
      <c r="D110" s="720"/>
      <c r="E110" s="757"/>
      <c r="F110" s="745"/>
      <c r="G110" s="720"/>
      <c r="H110" s="722"/>
      <c r="I110" s="723"/>
      <c r="J110" s="720"/>
      <c r="K110" s="720"/>
      <c r="L110" s="720"/>
      <c r="M110" s="720"/>
      <c r="N110" s="748">
        <v>44463</v>
      </c>
      <c r="O110" s="745"/>
      <c r="P110" s="726">
        <v>20178</v>
      </c>
      <c r="Q110" s="727">
        <v>44483</v>
      </c>
      <c r="R110" s="728"/>
      <c r="S110" s="726"/>
      <c r="T110" s="726"/>
      <c r="U110" s="722"/>
      <c r="V110" s="754"/>
      <c r="W110" s="730"/>
      <c r="X110" s="281">
        <v>48</v>
      </c>
    </row>
    <row r="111" spans="1:24" s="293" customFormat="1" x14ac:dyDescent="0.25">
      <c r="A111" s="718"/>
      <c r="B111" s="720"/>
      <c r="C111" s="720"/>
      <c r="D111" s="720"/>
      <c r="E111" s="757"/>
      <c r="F111" s="745"/>
      <c r="G111" s="720"/>
      <c r="H111" s="722"/>
      <c r="I111" s="723"/>
      <c r="J111" s="720"/>
      <c r="K111" s="720"/>
      <c r="L111" s="720"/>
      <c r="M111" s="720"/>
      <c r="N111" s="748">
        <v>44463</v>
      </c>
      <c r="O111" s="745"/>
      <c r="P111" s="726">
        <v>9044</v>
      </c>
      <c r="Q111" s="727">
        <v>44483</v>
      </c>
      <c r="R111" s="728"/>
      <c r="S111" s="726"/>
      <c r="T111" s="726"/>
      <c r="U111" s="722"/>
      <c r="V111" s="754"/>
      <c r="W111" s="730"/>
      <c r="X111" s="293">
        <v>48</v>
      </c>
    </row>
    <row r="112" spans="1:24" s="293" customFormat="1" x14ac:dyDescent="0.25">
      <c r="A112" s="718"/>
      <c r="B112" s="720"/>
      <c r="C112" s="720"/>
      <c r="D112" s="720"/>
      <c r="E112" s="757"/>
      <c r="F112" s="745"/>
      <c r="G112" s="720"/>
      <c r="H112" s="722"/>
      <c r="I112" s="723"/>
      <c r="J112" s="720"/>
      <c r="K112" s="720"/>
      <c r="L112" s="720"/>
      <c r="M112" s="720"/>
      <c r="N112" s="748">
        <v>44477</v>
      </c>
      <c r="O112" s="745"/>
      <c r="P112" s="726">
        <v>12863</v>
      </c>
      <c r="Q112" s="727">
        <v>44489</v>
      </c>
      <c r="R112" s="728"/>
      <c r="S112" s="726"/>
      <c r="T112" s="726"/>
      <c r="U112" s="722"/>
      <c r="V112" s="754"/>
      <c r="W112" s="730"/>
      <c r="X112" s="293">
        <v>48</v>
      </c>
    </row>
    <row r="113" spans="1:24" s="293" customFormat="1" x14ac:dyDescent="0.25">
      <c r="A113" s="718"/>
      <c r="B113" s="720"/>
      <c r="C113" s="720"/>
      <c r="D113" s="720"/>
      <c r="E113" s="757"/>
      <c r="F113" s="745"/>
      <c r="G113" s="720"/>
      <c r="H113" s="722"/>
      <c r="I113" s="723"/>
      <c r="J113" s="720"/>
      <c r="K113" s="720"/>
      <c r="L113" s="720"/>
      <c r="M113" s="720"/>
      <c r="N113" s="748">
        <v>44498</v>
      </c>
      <c r="O113" s="745"/>
      <c r="P113" s="726">
        <v>11191</v>
      </c>
      <c r="Q113" s="727">
        <v>44515</v>
      </c>
      <c r="R113" s="728"/>
      <c r="S113" s="726"/>
      <c r="T113" s="726"/>
      <c r="U113" s="722"/>
      <c r="V113" s="754"/>
      <c r="W113" s="730"/>
      <c r="X113" s="293">
        <v>48</v>
      </c>
    </row>
    <row r="114" spans="1:24" s="359" customFormat="1" x14ac:dyDescent="0.25">
      <c r="A114" s="718"/>
      <c r="B114" s="720"/>
      <c r="C114" s="720"/>
      <c r="D114" s="720"/>
      <c r="E114" s="757"/>
      <c r="F114" s="745"/>
      <c r="G114" s="720"/>
      <c r="H114" s="722"/>
      <c r="I114" s="723"/>
      <c r="J114" s="720"/>
      <c r="K114" s="720"/>
      <c r="L114" s="720"/>
      <c r="M114" s="720"/>
      <c r="N114" s="748">
        <v>44491</v>
      </c>
      <c r="O114" s="745"/>
      <c r="P114" s="726">
        <v>21660</v>
      </c>
      <c r="Q114" s="727">
        <v>44516</v>
      </c>
      <c r="R114" s="728"/>
      <c r="S114" s="726"/>
      <c r="T114" s="726"/>
      <c r="U114" s="722"/>
      <c r="V114" s="754"/>
      <c r="W114" s="730"/>
      <c r="X114" s="359">
        <v>48</v>
      </c>
    </row>
    <row r="115" spans="1:24" s="359" customFormat="1" x14ac:dyDescent="0.25">
      <c r="A115" s="718"/>
      <c r="B115" s="720"/>
      <c r="C115" s="720"/>
      <c r="D115" s="720"/>
      <c r="E115" s="757"/>
      <c r="F115" s="745"/>
      <c r="G115" s="720"/>
      <c r="H115" s="722"/>
      <c r="I115" s="723"/>
      <c r="J115" s="720"/>
      <c r="K115" s="720"/>
      <c r="L115" s="720"/>
      <c r="M115" s="720"/>
      <c r="N115" s="748">
        <v>44512</v>
      </c>
      <c r="O115" s="745"/>
      <c r="P115" s="726">
        <v>11077</v>
      </c>
      <c r="Q115" s="727">
        <v>44530</v>
      </c>
      <c r="R115" s="728"/>
      <c r="S115" s="726"/>
      <c r="T115" s="726"/>
      <c r="U115" s="722"/>
      <c r="V115" s="754"/>
      <c r="W115" s="730"/>
      <c r="X115" s="359">
        <v>48</v>
      </c>
    </row>
    <row r="116" spans="1:24" s="359" customFormat="1" x14ac:dyDescent="0.25">
      <c r="A116" s="731"/>
      <c r="B116" s="733"/>
      <c r="C116" s="733"/>
      <c r="D116" s="733"/>
      <c r="E116" s="758"/>
      <c r="F116" s="746"/>
      <c r="G116" s="733"/>
      <c r="H116" s="735"/>
      <c r="I116" s="736"/>
      <c r="J116" s="733"/>
      <c r="K116" s="733"/>
      <c r="L116" s="733"/>
      <c r="M116" s="733"/>
      <c r="N116" s="749">
        <v>44526</v>
      </c>
      <c r="O116" s="746"/>
      <c r="P116" s="739">
        <v>21242</v>
      </c>
      <c r="Q116" s="740"/>
      <c r="R116" s="741"/>
      <c r="S116" s="739"/>
      <c r="T116" s="739"/>
      <c r="U116" s="735"/>
      <c r="V116" s="755"/>
      <c r="W116" s="743"/>
      <c r="X116" s="359">
        <v>48</v>
      </c>
    </row>
    <row r="117" spans="1:24" s="107" customFormat="1" ht="93.75" customHeight="1" x14ac:dyDescent="0.25">
      <c r="A117" s="705">
        <v>48</v>
      </c>
      <c r="B117" s="707" t="s">
        <v>56</v>
      </c>
      <c r="C117" s="707" t="s">
        <v>146</v>
      </c>
      <c r="D117" s="707" t="s">
        <v>147</v>
      </c>
      <c r="E117" s="756">
        <v>70</v>
      </c>
      <c r="F117" s="744">
        <v>44439</v>
      </c>
      <c r="G117" s="707" t="s">
        <v>376</v>
      </c>
      <c r="H117" s="709">
        <v>39620</v>
      </c>
      <c r="I117" s="710">
        <f>IF(X117 = 49, H117 + SUM(S117:S118) - SUM(T117:T118) - SUM(P117:P118) - V117,0)</f>
        <v>13815</v>
      </c>
      <c r="J117" s="707" t="s">
        <v>371</v>
      </c>
      <c r="K117" s="707" t="s">
        <v>173</v>
      </c>
      <c r="L117" s="707" t="s">
        <v>146</v>
      </c>
      <c r="M117" s="707"/>
      <c r="N117" s="747">
        <v>44469</v>
      </c>
      <c r="O117" s="744" t="s">
        <v>144</v>
      </c>
      <c r="P117" s="713">
        <v>11978</v>
      </c>
      <c r="Q117" s="714">
        <v>44484</v>
      </c>
      <c r="R117" s="715"/>
      <c r="S117" s="713"/>
      <c r="T117" s="713"/>
      <c r="U117" s="709"/>
      <c r="V117" s="753"/>
      <c r="W117" s="717"/>
      <c r="X117" s="107">
        <v>49</v>
      </c>
    </row>
    <row r="118" spans="1:24" s="359" customFormat="1" x14ac:dyDescent="0.25">
      <c r="A118" s="731"/>
      <c r="B118" s="733"/>
      <c r="C118" s="733"/>
      <c r="D118" s="733"/>
      <c r="E118" s="758"/>
      <c r="F118" s="746"/>
      <c r="G118" s="733"/>
      <c r="H118" s="735"/>
      <c r="I118" s="736"/>
      <c r="J118" s="733"/>
      <c r="K118" s="733"/>
      <c r="L118" s="733"/>
      <c r="M118" s="733"/>
      <c r="N118" s="749">
        <v>44498</v>
      </c>
      <c r="O118" s="746"/>
      <c r="P118" s="739">
        <v>13827</v>
      </c>
      <c r="Q118" s="740">
        <v>44515</v>
      </c>
      <c r="R118" s="741"/>
      <c r="S118" s="739"/>
      <c r="T118" s="739"/>
      <c r="U118" s="735"/>
      <c r="V118" s="755"/>
      <c r="W118" s="743"/>
      <c r="X118" s="359">
        <v>49</v>
      </c>
    </row>
    <row r="119" spans="1:24" s="107" customFormat="1" ht="93.75" customHeight="1" x14ac:dyDescent="0.25">
      <c r="A119" s="705">
        <v>49</v>
      </c>
      <c r="B119" s="707" t="s">
        <v>56</v>
      </c>
      <c r="C119" s="707" t="s">
        <v>146</v>
      </c>
      <c r="D119" s="707" t="s">
        <v>147</v>
      </c>
      <c r="E119" s="756">
        <v>73</v>
      </c>
      <c r="F119" s="744">
        <v>44439</v>
      </c>
      <c r="G119" s="707" t="s">
        <v>377</v>
      </c>
      <c r="H119" s="709">
        <v>59340</v>
      </c>
      <c r="I119" s="710">
        <f>IF(X119 = 50, H119 + SUM(S119:S121) - SUM(T119:T121) - SUM(P119:P121) - V119,0)</f>
        <v>0</v>
      </c>
      <c r="J119" s="707" t="s">
        <v>371</v>
      </c>
      <c r="K119" s="707" t="s">
        <v>173</v>
      </c>
      <c r="L119" s="707" t="s">
        <v>146</v>
      </c>
      <c r="M119" s="707"/>
      <c r="N119" s="747">
        <v>44469</v>
      </c>
      <c r="O119" s="744" t="s">
        <v>144</v>
      </c>
      <c r="P119" s="713">
        <v>5780</v>
      </c>
      <c r="Q119" s="714">
        <v>44484</v>
      </c>
      <c r="R119" s="715"/>
      <c r="S119" s="713"/>
      <c r="T119" s="713"/>
      <c r="U119" s="709"/>
      <c r="V119" s="753">
        <v>32336</v>
      </c>
      <c r="W119" s="717"/>
      <c r="X119" s="107">
        <v>50</v>
      </c>
    </row>
    <row r="120" spans="1:24" s="359" customFormat="1" x14ac:dyDescent="0.25">
      <c r="A120" s="718"/>
      <c r="B120" s="720"/>
      <c r="C120" s="720"/>
      <c r="D120" s="720"/>
      <c r="E120" s="757"/>
      <c r="F120" s="745"/>
      <c r="G120" s="720"/>
      <c r="H120" s="722"/>
      <c r="I120" s="723"/>
      <c r="J120" s="720"/>
      <c r="K120" s="720"/>
      <c r="L120" s="720"/>
      <c r="M120" s="720"/>
      <c r="N120" s="748">
        <v>44498</v>
      </c>
      <c r="O120" s="745"/>
      <c r="P120" s="726">
        <v>14874</v>
      </c>
      <c r="Q120" s="727">
        <v>44522</v>
      </c>
      <c r="R120" s="728"/>
      <c r="S120" s="726"/>
      <c r="T120" s="726"/>
      <c r="U120" s="722"/>
      <c r="V120" s="754"/>
      <c r="W120" s="730"/>
      <c r="X120" s="359">
        <v>50</v>
      </c>
    </row>
    <row r="121" spans="1:24" s="359" customFormat="1" x14ac:dyDescent="0.25">
      <c r="A121" s="731"/>
      <c r="B121" s="733"/>
      <c r="C121" s="733"/>
      <c r="D121" s="733"/>
      <c r="E121" s="758"/>
      <c r="F121" s="746"/>
      <c r="G121" s="733"/>
      <c r="H121" s="735"/>
      <c r="I121" s="736"/>
      <c r="J121" s="733"/>
      <c r="K121" s="733"/>
      <c r="L121" s="733"/>
      <c r="M121" s="733"/>
      <c r="N121" s="749">
        <v>44498</v>
      </c>
      <c r="O121" s="746"/>
      <c r="P121" s="739">
        <v>6350</v>
      </c>
      <c r="Q121" s="740">
        <v>44522</v>
      </c>
      <c r="R121" s="741"/>
      <c r="S121" s="739"/>
      <c r="T121" s="739"/>
      <c r="U121" s="735"/>
      <c r="V121" s="755"/>
      <c r="W121" s="743"/>
      <c r="X121" s="359">
        <v>50</v>
      </c>
    </row>
    <row r="122" spans="1:24" s="107" customFormat="1" ht="93.75" x14ac:dyDescent="0.25">
      <c r="A122" s="294">
        <v>50</v>
      </c>
      <c r="B122" s="283" t="s">
        <v>56</v>
      </c>
      <c r="C122" s="295" t="s">
        <v>146</v>
      </c>
      <c r="D122" s="295" t="s">
        <v>147</v>
      </c>
      <c r="E122" s="296" t="s">
        <v>378</v>
      </c>
      <c r="F122" s="302">
        <v>44456</v>
      </c>
      <c r="G122" s="295" t="s">
        <v>379</v>
      </c>
      <c r="H122" s="297">
        <v>2000</v>
      </c>
      <c r="I122" s="298">
        <f>IF(X122 = 51, H122 + SUM(S122:S122) - SUM(T122:T122) - SUM(P122:P122) - V122,0)</f>
        <v>0</v>
      </c>
      <c r="J122" s="295" t="s">
        <v>197</v>
      </c>
      <c r="K122" s="295" t="s">
        <v>198</v>
      </c>
      <c r="L122" s="295" t="s">
        <v>146</v>
      </c>
      <c r="M122" s="295"/>
      <c r="N122" s="302"/>
      <c r="O122" s="292" t="s">
        <v>144</v>
      </c>
      <c r="P122" s="297">
        <v>2000</v>
      </c>
      <c r="Q122" s="299">
        <v>44466</v>
      </c>
      <c r="R122" s="295"/>
      <c r="S122" s="297"/>
      <c r="T122" s="297"/>
      <c r="U122" s="297"/>
      <c r="V122" s="300"/>
      <c r="W122" s="301"/>
      <c r="X122" s="107">
        <v>51</v>
      </c>
    </row>
    <row r="123" spans="1:24" s="107" customFormat="1" ht="93.75" x14ac:dyDescent="0.25">
      <c r="A123" s="275">
        <v>51</v>
      </c>
      <c r="B123" s="283" t="s">
        <v>56</v>
      </c>
      <c r="C123" s="274" t="s">
        <v>146</v>
      </c>
      <c r="D123" s="274" t="s">
        <v>147</v>
      </c>
      <c r="E123" s="290">
        <v>44465</v>
      </c>
      <c r="F123" s="313">
        <v>44465</v>
      </c>
      <c r="G123" s="274" t="s">
        <v>380</v>
      </c>
      <c r="H123" s="276">
        <v>2075</v>
      </c>
      <c r="I123" s="280">
        <f>IF(X123 = 52, H123 + SUM(S123:S123) - SUM(T123:T123) - SUM(P123:P123) - V123,0)</f>
        <v>0</v>
      </c>
      <c r="J123" s="274" t="s">
        <v>381</v>
      </c>
      <c r="K123" s="274" t="s">
        <v>382</v>
      </c>
      <c r="L123" s="274" t="s">
        <v>146</v>
      </c>
      <c r="M123" s="274"/>
      <c r="N123" s="313">
        <v>44464</v>
      </c>
      <c r="O123" s="292" t="s">
        <v>144</v>
      </c>
      <c r="P123" s="276">
        <v>2075</v>
      </c>
      <c r="Q123" s="279">
        <v>44467</v>
      </c>
      <c r="R123" s="274"/>
      <c r="S123" s="276"/>
      <c r="T123" s="276"/>
      <c r="U123" s="276"/>
      <c r="V123" s="277"/>
      <c r="W123" s="278"/>
      <c r="X123" s="107">
        <v>52</v>
      </c>
    </row>
    <row r="124" spans="1:24" s="107" customFormat="1" ht="93.75" x14ac:dyDescent="0.25">
      <c r="A124" s="303">
        <v>52</v>
      </c>
      <c r="B124" s="304" t="s">
        <v>56</v>
      </c>
      <c r="C124" s="304" t="s">
        <v>146</v>
      </c>
      <c r="D124" s="304" t="s">
        <v>147</v>
      </c>
      <c r="E124" s="305">
        <v>69</v>
      </c>
      <c r="F124" s="306">
        <v>44468</v>
      </c>
      <c r="G124" s="304" t="s">
        <v>383</v>
      </c>
      <c r="H124" s="307">
        <v>4554.1000000000004</v>
      </c>
      <c r="I124" s="308">
        <f>IF(X124 = 53, H124 + SUM(S124:S124) - SUM(T124:T124) - SUM(P124:P124) - V124,0)</f>
        <v>0</v>
      </c>
      <c r="J124" s="304" t="s">
        <v>344</v>
      </c>
      <c r="K124" s="304" t="s">
        <v>345</v>
      </c>
      <c r="L124" s="304" t="s">
        <v>146</v>
      </c>
      <c r="M124" s="304"/>
      <c r="N124" s="306">
        <v>44469</v>
      </c>
      <c r="O124" s="306" t="s">
        <v>144</v>
      </c>
      <c r="P124" s="307">
        <v>4554.1000000000004</v>
      </c>
      <c r="Q124" s="309">
        <v>44469</v>
      </c>
      <c r="R124" s="304"/>
      <c r="S124" s="307"/>
      <c r="T124" s="307"/>
      <c r="U124" s="307"/>
      <c r="V124" s="310"/>
      <c r="W124" s="311"/>
      <c r="X124" s="107">
        <v>53</v>
      </c>
    </row>
    <row r="125" spans="1:24" s="107" customFormat="1" ht="93.75" x14ac:dyDescent="0.25">
      <c r="A125" s="315">
        <v>53</v>
      </c>
      <c r="B125" s="304" t="s">
        <v>56</v>
      </c>
      <c r="C125" s="316" t="s">
        <v>146</v>
      </c>
      <c r="D125" s="316" t="s">
        <v>147</v>
      </c>
      <c r="E125" s="317" t="s">
        <v>384</v>
      </c>
      <c r="F125" s="318">
        <v>44428</v>
      </c>
      <c r="G125" s="316" t="s">
        <v>385</v>
      </c>
      <c r="H125" s="319">
        <v>16667.45</v>
      </c>
      <c r="I125" s="320">
        <f>IF(X125 = 54, H125 + SUM(S125:S125) - SUM(T125:T125) - SUM(P125:P125) - V125,0)</f>
        <v>0</v>
      </c>
      <c r="J125" s="316" t="s">
        <v>386</v>
      </c>
      <c r="K125" s="316" t="s">
        <v>387</v>
      </c>
      <c r="L125" s="316" t="s">
        <v>146</v>
      </c>
      <c r="M125" s="316" t="s">
        <v>388</v>
      </c>
      <c r="N125" s="318">
        <v>44459</v>
      </c>
      <c r="O125" s="306" t="s">
        <v>144</v>
      </c>
      <c r="P125" s="319">
        <v>16667.45</v>
      </c>
      <c r="Q125" s="321">
        <v>44487</v>
      </c>
      <c r="R125" s="316"/>
      <c r="S125" s="319"/>
      <c r="T125" s="319"/>
      <c r="U125" s="319"/>
      <c r="V125" s="322"/>
      <c r="W125" s="323"/>
      <c r="X125" s="107">
        <v>54</v>
      </c>
    </row>
    <row r="126" spans="1:24" s="107" customFormat="1" ht="93.75" customHeight="1" x14ac:dyDescent="0.25">
      <c r="A126" s="705">
        <v>54</v>
      </c>
      <c r="B126" s="707" t="s">
        <v>56</v>
      </c>
      <c r="C126" s="707" t="s">
        <v>146</v>
      </c>
      <c r="D126" s="707" t="s">
        <v>147</v>
      </c>
      <c r="E126" s="756">
        <v>6</v>
      </c>
      <c r="F126" s="744">
        <v>44439</v>
      </c>
      <c r="G126" s="707" t="s">
        <v>390</v>
      </c>
      <c r="H126" s="709">
        <v>16848</v>
      </c>
      <c r="I126" s="710">
        <f>IF(X126 = 55, H126 + SUM(S126:S134) - SUM(T126:T134) - SUM(P126:P134) - V126,0)</f>
        <v>7234.5</v>
      </c>
      <c r="J126" s="707" t="s">
        <v>218</v>
      </c>
      <c r="K126" s="707" t="s">
        <v>219</v>
      </c>
      <c r="L126" s="707" t="s">
        <v>146</v>
      </c>
      <c r="M126" s="707" t="s">
        <v>391</v>
      </c>
      <c r="N126" s="747">
        <v>44462</v>
      </c>
      <c r="O126" s="744" t="s">
        <v>144</v>
      </c>
      <c r="P126" s="713">
        <v>975</v>
      </c>
      <c r="Q126" s="714">
        <v>44473</v>
      </c>
      <c r="R126" s="715"/>
      <c r="S126" s="713"/>
      <c r="T126" s="713"/>
      <c r="U126" s="709"/>
      <c r="V126" s="753"/>
      <c r="W126" s="717"/>
      <c r="X126" s="107">
        <v>55</v>
      </c>
    </row>
    <row r="127" spans="1:24" s="293" customFormat="1" x14ac:dyDescent="0.25">
      <c r="A127" s="718"/>
      <c r="B127" s="720"/>
      <c r="C127" s="720"/>
      <c r="D127" s="720"/>
      <c r="E127" s="757"/>
      <c r="F127" s="745"/>
      <c r="G127" s="720"/>
      <c r="H127" s="722"/>
      <c r="I127" s="723"/>
      <c r="J127" s="720"/>
      <c r="K127" s="720"/>
      <c r="L127" s="720"/>
      <c r="M127" s="720"/>
      <c r="N127" s="748">
        <v>44455</v>
      </c>
      <c r="O127" s="745"/>
      <c r="P127" s="726">
        <v>1833</v>
      </c>
      <c r="Q127" s="727">
        <v>44473</v>
      </c>
      <c r="R127" s="728"/>
      <c r="S127" s="726"/>
      <c r="T127" s="726"/>
      <c r="U127" s="722"/>
      <c r="V127" s="754"/>
      <c r="W127" s="730"/>
      <c r="X127" s="293">
        <v>55</v>
      </c>
    </row>
    <row r="128" spans="1:24" s="314" customFormat="1" x14ac:dyDescent="0.25">
      <c r="A128" s="718"/>
      <c r="B128" s="720"/>
      <c r="C128" s="720"/>
      <c r="D128" s="720"/>
      <c r="E128" s="757"/>
      <c r="F128" s="745"/>
      <c r="G128" s="720"/>
      <c r="H128" s="722"/>
      <c r="I128" s="723"/>
      <c r="J128" s="720"/>
      <c r="K128" s="720"/>
      <c r="L128" s="720"/>
      <c r="M128" s="720"/>
      <c r="N128" s="748">
        <v>44469</v>
      </c>
      <c r="O128" s="745"/>
      <c r="P128" s="726">
        <v>994.5</v>
      </c>
      <c r="Q128" s="727">
        <v>44480</v>
      </c>
      <c r="R128" s="728"/>
      <c r="S128" s="726"/>
      <c r="T128" s="726"/>
      <c r="U128" s="722"/>
      <c r="V128" s="754"/>
      <c r="W128" s="730"/>
      <c r="X128" s="314">
        <v>55</v>
      </c>
    </row>
    <row r="129" spans="1:24" s="340" customFormat="1" x14ac:dyDescent="0.25">
      <c r="A129" s="718"/>
      <c r="B129" s="720"/>
      <c r="C129" s="720"/>
      <c r="D129" s="720"/>
      <c r="E129" s="757"/>
      <c r="F129" s="745"/>
      <c r="G129" s="720"/>
      <c r="H129" s="722"/>
      <c r="I129" s="723"/>
      <c r="J129" s="720"/>
      <c r="K129" s="720"/>
      <c r="L129" s="720"/>
      <c r="M129" s="720"/>
      <c r="N129" s="748">
        <v>44476</v>
      </c>
      <c r="O129" s="745"/>
      <c r="P129" s="726">
        <v>955.5</v>
      </c>
      <c r="Q129" s="727">
        <v>44496</v>
      </c>
      <c r="R129" s="728"/>
      <c r="S129" s="726"/>
      <c r="T129" s="726"/>
      <c r="U129" s="722"/>
      <c r="V129" s="754"/>
      <c r="W129" s="730"/>
      <c r="X129" s="340">
        <v>55</v>
      </c>
    </row>
    <row r="130" spans="1:24" s="340" customFormat="1" x14ac:dyDescent="0.25">
      <c r="A130" s="718"/>
      <c r="B130" s="720"/>
      <c r="C130" s="720"/>
      <c r="D130" s="720"/>
      <c r="E130" s="757"/>
      <c r="F130" s="745"/>
      <c r="G130" s="720"/>
      <c r="H130" s="722"/>
      <c r="I130" s="723"/>
      <c r="J130" s="720"/>
      <c r="K130" s="720"/>
      <c r="L130" s="720"/>
      <c r="M130" s="720"/>
      <c r="N130" s="748">
        <v>44490</v>
      </c>
      <c r="O130" s="745"/>
      <c r="P130" s="726">
        <v>897</v>
      </c>
      <c r="Q130" s="727">
        <v>44496</v>
      </c>
      <c r="R130" s="728"/>
      <c r="S130" s="726"/>
      <c r="T130" s="726"/>
      <c r="U130" s="722"/>
      <c r="V130" s="754"/>
      <c r="W130" s="730"/>
      <c r="X130" s="340">
        <v>55</v>
      </c>
    </row>
    <row r="131" spans="1:24" s="340" customFormat="1" x14ac:dyDescent="0.25">
      <c r="A131" s="718"/>
      <c r="B131" s="720"/>
      <c r="C131" s="720"/>
      <c r="D131" s="720"/>
      <c r="E131" s="757"/>
      <c r="F131" s="745"/>
      <c r="G131" s="720"/>
      <c r="H131" s="722"/>
      <c r="I131" s="723"/>
      <c r="J131" s="720"/>
      <c r="K131" s="720"/>
      <c r="L131" s="720"/>
      <c r="M131" s="720"/>
      <c r="N131" s="748">
        <v>44483</v>
      </c>
      <c r="O131" s="745"/>
      <c r="P131" s="726">
        <v>877.5</v>
      </c>
      <c r="Q131" s="727">
        <v>44496</v>
      </c>
      <c r="R131" s="728"/>
      <c r="S131" s="726"/>
      <c r="T131" s="726"/>
      <c r="U131" s="722"/>
      <c r="V131" s="754"/>
      <c r="W131" s="730"/>
      <c r="X131" s="340">
        <v>55</v>
      </c>
    </row>
    <row r="132" spans="1:24" s="359" customFormat="1" x14ac:dyDescent="0.25">
      <c r="A132" s="718"/>
      <c r="B132" s="720"/>
      <c r="C132" s="720"/>
      <c r="D132" s="720"/>
      <c r="E132" s="757"/>
      <c r="F132" s="745"/>
      <c r="G132" s="720"/>
      <c r="H132" s="722"/>
      <c r="I132" s="723"/>
      <c r="J132" s="720"/>
      <c r="K132" s="720"/>
      <c r="L132" s="720"/>
      <c r="M132" s="720"/>
      <c r="N132" s="748">
        <v>44511</v>
      </c>
      <c r="O132" s="745"/>
      <c r="P132" s="726">
        <v>1053</v>
      </c>
      <c r="Q132" s="727">
        <v>44516</v>
      </c>
      <c r="R132" s="728"/>
      <c r="S132" s="726"/>
      <c r="T132" s="726"/>
      <c r="U132" s="722"/>
      <c r="V132" s="754"/>
      <c r="W132" s="730"/>
      <c r="X132" s="359">
        <v>55</v>
      </c>
    </row>
    <row r="133" spans="1:24" s="359" customFormat="1" x14ac:dyDescent="0.25">
      <c r="A133" s="718"/>
      <c r="B133" s="720"/>
      <c r="C133" s="720"/>
      <c r="D133" s="720"/>
      <c r="E133" s="757"/>
      <c r="F133" s="745"/>
      <c r="G133" s="720"/>
      <c r="H133" s="722"/>
      <c r="I133" s="723"/>
      <c r="J133" s="720"/>
      <c r="K133" s="720"/>
      <c r="L133" s="720"/>
      <c r="M133" s="720"/>
      <c r="N133" s="748">
        <v>44498</v>
      </c>
      <c r="O133" s="745"/>
      <c r="P133" s="726">
        <v>975</v>
      </c>
      <c r="Q133" s="727">
        <v>44516</v>
      </c>
      <c r="R133" s="728"/>
      <c r="S133" s="726"/>
      <c r="T133" s="726"/>
      <c r="U133" s="722"/>
      <c r="V133" s="754"/>
      <c r="W133" s="730"/>
      <c r="X133" s="359">
        <v>55</v>
      </c>
    </row>
    <row r="134" spans="1:24" s="359" customFormat="1" x14ac:dyDescent="0.25">
      <c r="A134" s="731"/>
      <c r="B134" s="733"/>
      <c r="C134" s="733"/>
      <c r="D134" s="733"/>
      <c r="E134" s="758"/>
      <c r="F134" s="746"/>
      <c r="G134" s="733"/>
      <c r="H134" s="735"/>
      <c r="I134" s="736"/>
      <c r="J134" s="733"/>
      <c r="K134" s="733"/>
      <c r="L134" s="733"/>
      <c r="M134" s="733"/>
      <c r="N134" s="749">
        <v>44518</v>
      </c>
      <c r="O134" s="746"/>
      <c r="P134" s="739">
        <v>1053</v>
      </c>
      <c r="Q134" s="740">
        <v>44522</v>
      </c>
      <c r="R134" s="741"/>
      <c r="S134" s="739"/>
      <c r="T134" s="739"/>
      <c r="U134" s="735"/>
      <c r="V134" s="755"/>
      <c r="W134" s="743"/>
      <c r="X134" s="359">
        <v>55</v>
      </c>
    </row>
    <row r="135" spans="1:24" s="107" customFormat="1" ht="93.75" x14ac:dyDescent="0.25">
      <c r="A135" s="328">
        <v>55</v>
      </c>
      <c r="B135" s="329" t="s">
        <v>56</v>
      </c>
      <c r="C135" s="329" t="s">
        <v>146</v>
      </c>
      <c r="D135" s="329" t="s">
        <v>147</v>
      </c>
      <c r="E135" s="338" t="s">
        <v>398</v>
      </c>
      <c r="F135" s="333">
        <v>44452</v>
      </c>
      <c r="G135" s="329" t="s">
        <v>399</v>
      </c>
      <c r="H135" s="331">
        <v>31000</v>
      </c>
      <c r="I135" s="332">
        <f>IF(X135 = 56, H135 + SUM(S135:S135) - SUM(T135:T135) - SUM(P135:P135) - V135,0)</f>
        <v>0</v>
      </c>
      <c r="J135" s="329" t="s">
        <v>185</v>
      </c>
      <c r="K135" s="329" t="s">
        <v>186</v>
      </c>
      <c r="L135" s="329" t="s">
        <v>146</v>
      </c>
      <c r="M135" s="329"/>
      <c r="N135" s="333"/>
      <c r="O135" s="333" t="s">
        <v>144</v>
      </c>
      <c r="P135" s="331">
        <v>31000</v>
      </c>
      <c r="Q135" s="330">
        <v>44495</v>
      </c>
      <c r="R135" s="329"/>
      <c r="S135" s="331"/>
      <c r="T135" s="331"/>
      <c r="U135" s="331"/>
      <c r="V135" s="339"/>
      <c r="W135" s="312"/>
      <c r="X135" s="107">
        <v>56</v>
      </c>
    </row>
    <row r="136" spans="1:24" s="107" customFormat="1" ht="93.75" x14ac:dyDescent="0.25">
      <c r="A136" s="328">
        <v>56</v>
      </c>
      <c r="B136" s="329" t="s">
        <v>56</v>
      </c>
      <c r="C136" s="329" t="s">
        <v>146</v>
      </c>
      <c r="D136" s="329" t="s">
        <v>147</v>
      </c>
      <c r="E136" s="338">
        <v>440</v>
      </c>
      <c r="F136" s="333">
        <v>44467</v>
      </c>
      <c r="G136" s="329" t="s">
        <v>400</v>
      </c>
      <c r="H136" s="331">
        <v>20000</v>
      </c>
      <c r="I136" s="332">
        <f>IF(X136 = 57, H136 + SUM(S136:S136) - SUM(T136:T136) - SUM(P136:P136) - V136,0)</f>
        <v>0</v>
      </c>
      <c r="J136" s="329" t="s">
        <v>223</v>
      </c>
      <c r="K136" s="329" t="s">
        <v>222</v>
      </c>
      <c r="L136" s="329" t="s">
        <v>146</v>
      </c>
      <c r="M136" s="329" t="s">
        <v>401</v>
      </c>
      <c r="N136" s="333">
        <v>44481</v>
      </c>
      <c r="O136" s="333" t="s">
        <v>144</v>
      </c>
      <c r="P136" s="331">
        <v>20000</v>
      </c>
      <c r="Q136" s="330">
        <v>44484</v>
      </c>
      <c r="R136" s="329"/>
      <c r="S136" s="331"/>
      <c r="T136" s="331"/>
      <c r="U136" s="331"/>
      <c r="V136" s="339"/>
      <c r="W136" s="312"/>
      <c r="X136" s="107">
        <v>57</v>
      </c>
    </row>
    <row r="137" spans="1:24" s="107" customFormat="1" ht="93.75" customHeight="1" x14ac:dyDescent="0.25">
      <c r="A137" s="445">
        <v>57</v>
      </c>
      <c r="B137" s="451" t="s">
        <v>56</v>
      </c>
      <c r="C137" s="451" t="s">
        <v>146</v>
      </c>
      <c r="D137" s="451" t="s">
        <v>147</v>
      </c>
      <c r="E137" s="457">
        <v>70</v>
      </c>
      <c r="F137" s="447">
        <v>44468</v>
      </c>
      <c r="G137" s="451" t="s">
        <v>402</v>
      </c>
      <c r="H137" s="449">
        <v>36935</v>
      </c>
      <c r="I137" s="459">
        <f>IF(X137 = 58, H137 + SUM(S137:S138) - SUM(T137:T138) - SUM(P137:P138) - V137,0)</f>
        <v>0</v>
      </c>
      <c r="J137" s="451" t="s">
        <v>344</v>
      </c>
      <c r="K137" s="451" t="s">
        <v>345</v>
      </c>
      <c r="L137" s="451" t="s">
        <v>146</v>
      </c>
      <c r="M137" s="451"/>
      <c r="N137" s="334"/>
      <c r="O137" s="447" t="s">
        <v>144</v>
      </c>
      <c r="P137" s="335">
        <v>30030</v>
      </c>
      <c r="Q137" s="336">
        <v>44476</v>
      </c>
      <c r="R137" s="337"/>
      <c r="S137" s="335"/>
      <c r="T137" s="335"/>
      <c r="U137" s="449"/>
      <c r="V137" s="453"/>
      <c r="W137" s="455"/>
      <c r="X137" s="107">
        <v>58</v>
      </c>
    </row>
    <row r="138" spans="1:24" s="293" customFormat="1" x14ac:dyDescent="0.25">
      <c r="A138" s="446"/>
      <c r="B138" s="452"/>
      <c r="C138" s="452"/>
      <c r="D138" s="452"/>
      <c r="E138" s="458"/>
      <c r="F138" s="448"/>
      <c r="G138" s="452"/>
      <c r="H138" s="450"/>
      <c r="I138" s="460"/>
      <c r="J138" s="452"/>
      <c r="K138" s="452"/>
      <c r="L138" s="452"/>
      <c r="M138" s="452"/>
      <c r="N138" s="324"/>
      <c r="O138" s="448"/>
      <c r="P138" s="325">
        <v>6905</v>
      </c>
      <c r="Q138" s="326">
        <v>44476</v>
      </c>
      <c r="R138" s="327"/>
      <c r="S138" s="325"/>
      <c r="T138" s="325"/>
      <c r="U138" s="450"/>
      <c r="V138" s="454"/>
      <c r="W138" s="456"/>
      <c r="X138" s="293">
        <v>58</v>
      </c>
    </row>
    <row r="139" spans="1:24" s="107" customFormat="1" ht="93.75" x14ac:dyDescent="0.25">
      <c r="A139" s="328">
        <v>58</v>
      </c>
      <c r="B139" s="329" t="s">
        <v>56</v>
      </c>
      <c r="C139" s="329" t="s">
        <v>146</v>
      </c>
      <c r="D139" s="329" t="s">
        <v>147</v>
      </c>
      <c r="E139" s="338">
        <v>69</v>
      </c>
      <c r="F139" s="333">
        <v>44468</v>
      </c>
      <c r="G139" s="329" t="s">
        <v>383</v>
      </c>
      <c r="H139" s="331">
        <v>4554.1000000000004</v>
      </c>
      <c r="I139" s="332">
        <f>IF(X139 = 59, H139 + SUM(S139:S139) - SUM(T139:T139) - SUM(P139:P139) - V139,0)</f>
        <v>0</v>
      </c>
      <c r="J139" s="329" t="s">
        <v>344</v>
      </c>
      <c r="K139" s="329" t="s">
        <v>345</v>
      </c>
      <c r="L139" s="329" t="s">
        <v>146</v>
      </c>
      <c r="M139" s="329"/>
      <c r="N139" s="333"/>
      <c r="O139" s="333" t="s">
        <v>144</v>
      </c>
      <c r="P139" s="331">
        <v>4554.1000000000004</v>
      </c>
      <c r="Q139" s="330">
        <v>44469</v>
      </c>
      <c r="R139" s="329"/>
      <c r="S139" s="331"/>
      <c r="T139" s="331"/>
      <c r="U139" s="331"/>
      <c r="V139" s="339"/>
      <c r="W139" s="312"/>
      <c r="X139" s="107">
        <v>59</v>
      </c>
    </row>
    <row r="140" spans="1:24" s="107" customFormat="1" ht="93.75" x14ac:dyDescent="0.25">
      <c r="A140" s="328">
        <v>59</v>
      </c>
      <c r="B140" s="329" t="s">
        <v>56</v>
      </c>
      <c r="C140" s="329" t="s">
        <v>146</v>
      </c>
      <c r="D140" s="329" t="s">
        <v>147</v>
      </c>
      <c r="E140" s="338" t="s">
        <v>403</v>
      </c>
      <c r="F140" s="333">
        <v>44474</v>
      </c>
      <c r="G140" s="329" t="s">
        <v>367</v>
      </c>
      <c r="H140" s="331">
        <v>4000</v>
      </c>
      <c r="I140" s="332">
        <f>IF(X140 = 60, H140 + SUM(S140:S140) - SUM(T140:T140) - SUM(P140:P140) - V140,0)</f>
        <v>0</v>
      </c>
      <c r="J140" s="329" t="s">
        <v>404</v>
      </c>
      <c r="K140" s="329" t="s">
        <v>405</v>
      </c>
      <c r="L140" s="329" t="s">
        <v>146</v>
      </c>
      <c r="M140" s="329"/>
      <c r="N140" s="333"/>
      <c r="O140" s="333" t="s">
        <v>144</v>
      </c>
      <c r="P140" s="331">
        <v>4000</v>
      </c>
      <c r="Q140" s="330">
        <v>44489</v>
      </c>
      <c r="R140" s="329"/>
      <c r="S140" s="331"/>
      <c r="T140" s="331"/>
      <c r="U140" s="331"/>
      <c r="V140" s="339"/>
      <c r="W140" s="312"/>
      <c r="X140" s="107">
        <v>60</v>
      </c>
    </row>
    <row r="141" spans="1:24" s="107" customFormat="1" ht="93.75" x14ac:dyDescent="0.25">
      <c r="A141" s="328">
        <v>60</v>
      </c>
      <c r="B141" s="329" t="s">
        <v>56</v>
      </c>
      <c r="C141" s="329" t="s">
        <v>146</v>
      </c>
      <c r="D141" s="329" t="s">
        <v>147</v>
      </c>
      <c r="E141" s="338">
        <v>38</v>
      </c>
      <c r="F141" s="333">
        <v>44484</v>
      </c>
      <c r="G141" s="329" t="s">
        <v>407</v>
      </c>
      <c r="H141" s="331">
        <v>19000</v>
      </c>
      <c r="I141" s="332">
        <f>IF(X141 = 62, H141 + SUM(S141:S141) - SUM(T141:T141) - SUM(P141:P141) - V141,0)</f>
        <v>0</v>
      </c>
      <c r="J141" s="329" t="s">
        <v>408</v>
      </c>
      <c r="K141" s="329" t="s">
        <v>170</v>
      </c>
      <c r="L141" s="329" t="s">
        <v>146</v>
      </c>
      <c r="M141" s="329"/>
      <c r="N141" s="333">
        <v>44489</v>
      </c>
      <c r="O141" s="333" t="s">
        <v>144</v>
      </c>
      <c r="P141" s="331">
        <v>19000</v>
      </c>
      <c r="Q141" s="330">
        <v>44495</v>
      </c>
      <c r="R141" s="329"/>
      <c r="S141" s="331"/>
      <c r="T141" s="331"/>
      <c r="U141" s="331"/>
      <c r="V141" s="339"/>
      <c r="W141" s="312"/>
      <c r="X141" s="107">
        <v>62</v>
      </c>
    </row>
    <row r="142" spans="1:24" s="107" customFormat="1" ht="93.75" x14ac:dyDescent="0.25">
      <c r="A142" s="328">
        <v>61</v>
      </c>
      <c r="B142" s="329" t="s">
        <v>56</v>
      </c>
      <c r="C142" s="329" t="s">
        <v>146</v>
      </c>
      <c r="D142" s="329" t="s">
        <v>147</v>
      </c>
      <c r="E142" s="338" t="s">
        <v>409</v>
      </c>
      <c r="F142" s="333">
        <v>44488</v>
      </c>
      <c r="G142" s="329" t="s">
        <v>253</v>
      </c>
      <c r="H142" s="331">
        <v>9754.82</v>
      </c>
      <c r="I142" s="332">
        <f>IF(X142 = 63, H142 + SUM(S142:S142) - SUM(T142:T142) - SUM(P142:P142) - V142,0)</f>
        <v>0</v>
      </c>
      <c r="J142" s="329" t="s">
        <v>254</v>
      </c>
      <c r="K142" s="329" t="s">
        <v>255</v>
      </c>
      <c r="L142" s="329" t="s">
        <v>146</v>
      </c>
      <c r="M142" s="329"/>
      <c r="N142" s="333"/>
      <c r="O142" s="333" t="s">
        <v>144</v>
      </c>
      <c r="P142" s="331">
        <v>9754.82</v>
      </c>
      <c r="Q142" s="330">
        <v>44495</v>
      </c>
      <c r="R142" s="329"/>
      <c r="S142" s="331"/>
      <c r="T142" s="331"/>
      <c r="U142" s="331"/>
      <c r="V142" s="339"/>
      <c r="W142" s="312"/>
      <c r="X142" s="107">
        <v>63</v>
      </c>
    </row>
    <row r="143" spans="1:24" s="107" customFormat="1" ht="93.75" x14ac:dyDescent="0.25">
      <c r="A143" s="357">
        <v>62</v>
      </c>
      <c r="B143" s="329" t="s">
        <v>56</v>
      </c>
      <c r="C143" s="353" t="s">
        <v>146</v>
      </c>
      <c r="D143" s="353" t="s">
        <v>243</v>
      </c>
      <c r="E143" s="354" t="s">
        <v>414</v>
      </c>
      <c r="F143" s="704">
        <v>44509</v>
      </c>
      <c r="G143" s="353" t="s">
        <v>379</v>
      </c>
      <c r="H143" s="355">
        <v>1000</v>
      </c>
      <c r="I143" s="356">
        <f>IF(X143 = 66, H143 + SUM(S143:S143) - SUM(T143:T143) - SUM(P143:P143) - V143,0)</f>
        <v>0</v>
      </c>
      <c r="J143" s="353" t="s">
        <v>197</v>
      </c>
      <c r="K143" s="353" t="s">
        <v>198</v>
      </c>
      <c r="L143" s="353" t="s">
        <v>146</v>
      </c>
      <c r="M143" s="353" t="s">
        <v>427</v>
      </c>
      <c r="N143" s="704">
        <v>44516</v>
      </c>
      <c r="O143" s="333" t="s">
        <v>144</v>
      </c>
      <c r="P143" s="355">
        <v>1000</v>
      </c>
      <c r="Q143" s="358">
        <v>44516</v>
      </c>
      <c r="R143" s="353"/>
      <c r="S143" s="355"/>
      <c r="T143" s="355"/>
      <c r="U143" s="355"/>
      <c r="V143" s="360"/>
      <c r="W143" s="361"/>
      <c r="X143" s="107">
        <v>66</v>
      </c>
    </row>
    <row r="144" spans="1:24" s="107" customFormat="1" ht="93.75" x14ac:dyDescent="0.25">
      <c r="A144" s="357">
        <v>63</v>
      </c>
      <c r="B144" s="329" t="s">
        <v>56</v>
      </c>
      <c r="C144" s="353" t="s">
        <v>146</v>
      </c>
      <c r="D144" s="353" t="s">
        <v>147</v>
      </c>
      <c r="E144" s="354" t="s">
        <v>398</v>
      </c>
      <c r="F144" s="704">
        <v>44522</v>
      </c>
      <c r="G144" s="353" t="s">
        <v>415</v>
      </c>
      <c r="H144" s="355">
        <v>6100</v>
      </c>
      <c r="I144" s="356">
        <f>IF(X144 = 67, H144 + SUM(S144:S144) - SUM(T144:T144) - SUM(P144:P144) - V144,0)</f>
        <v>0</v>
      </c>
      <c r="J144" s="353" t="s">
        <v>416</v>
      </c>
      <c r="K144" s="353" t="s">
        <v>417</v>
      </c>
      <c r="L144" s="353" t="s">
        <v>146</v>
      </c>
      <c r="M144" s="353" t="s">
        <v>418</v>
      </c>
      <c r="N144" s="704">
        <v>44503</v>
      </c>
      <c r="O144" s="333" t="s">
        <v>144</v>
      </c>
      <c r="P144" s="355">
        <v>6100</v>
      </c>
      <c r="Q144" s="358">
        <v>44530</v>
      </c>
      <c r="R144" s="353"/>
      <c r="S144" s="355"/>
      <c r="T144" s="355"/>
      <c r="U144" s="355"/>
      <c r="V144" s="360"/>
      <c r="W144" s="361"/>
      <c r="X144" s="107">
        <v>67</v>
      </c>
    </row>
    <row r="145" spans="1:24" x14ac:dyDescent="0.25">
      <c r="A145" s="14"/>
      <c r="B145" s="140"/>
      <c r="C145" s="14"/>
      <c r="D145" s="14"/>
      <c r="E145" s="29"/>
      <c r="F145" s="14"/>
      <c r="G145" s="14"/>
      <c r="H145" s="15"/>
      <c r="I145" s="15"/>
      <c r="J145" s="14"/>
      <c r="K145" s="14"/>
      <c r="L145" s="14"/>
      <c r="M145" s="14"/>
      <c r="N145" s="29"/>
      <c r="O145" s="14"/>
      <c r="P145" s="104"/>
      <c r="Q145" s="29"/>
      <c r="R145" s="16"/>
      <c r="S145" s="16"/>
      <c r="T145" s="16"/>
      <c r="U145" s="29"/>
      <c r="V145" s="104"/>
      <c r="W145" s="16"/>
      <c r="X145" s="8">
        <v>69</v>
      </c>
    </row>
    <row r="146" spans="1:24" s="2" customFormat="1" x14ac:dyDescent="0.25">
      <c r="A146" s="41"/>
      <c r="B146" s="141"/>
      <c r="C146" s="41"/>
      <c r="D146" s="41"/>
      <c r="E146" s="42"/>
      <c r="F146" s="41"/>
      <c r="G146" s="41"/>
      <c r="H146" s="44"/>
      <c r="I146" s="44"/>
      <c r="J146" s="41"/>
      <c r="K146" s="41"/>
      <c r="L146" s="41"/>
      <c r="M146" s="41"/>
      <c r="N146" s="42"/>
      <c r="O146" s="41"/>
      <c r="P146" s="40"/>
      <c r="Q146" s="42"/>
      <c r="U146" s="42"/>
      <c r="V146" s="40"/>
    </row>
    <row r="147" spans="1:24" s="2" customFormat="1" x14ac:dyDescent="0.25">
      <c r="A147" s="41"/>
      <c r="B147" s="141"/>
      <c r="C147" s="41"/>
      <c r="D147" s="41"/>
      <c r="E147" s="42"/>
      <c r="F147" s="41"/>
      <c r="G147" s="41"/>
      <c r="H147" s="44"/>
      <c r="I147" s="44"/>
      <c r="J147" s="41"/>
      <c r="K147" s="41"/>
      <c r="L147" s="41"/>
      <c r="M147" s="41"/>
      <c r="N147" s="42"/>
      <c r="O147" s="41"/>
      <c r="P147" s="40"/>
      <c r="Q147" s="42"/>
      <c r="U147" s="42"/>
      <c r="V147" s="40"/>
    </row>
    <row r="148" spans="1:24" s="2" customFormat="1" x14ac:dyDescent="0.25">
      <c r="A148" s="41"/>
      <c r="B148" s="141"/>
      <c r="C148" s="41"/>
      <c r="D148" s="41"/>
      <c r="E148" s="42"/>
      <c r="F148" s="41"/>
      <c r="G148" s="41"/>
      <c r="H148" s="44"/>
      <c r="I148" s="44"/>
      <c r="J148" s="41"/>
      <c r="K148" s="41"/>
      <c r="L148" s="41"/>
      <c r="M148" s="41"/>
      <c r="N148" s="42"/>
      <c r="O148" s="41"/>
      <c r="P148" s="40"/>
      <c r="Q148" s="42"/>
      <c r="U148" s="42"/>
      <c r="V148" s="40"/>
    </row>
    <row r="149" spans="1:24" s="2" customFormat="1" x14ac:dyDescent="0.25">
      <c r="A149" s="41"/>
      <c r="B149" s="141"/>
      <c r="C149" s="41"/>
      <c r="D149" s="41"/>
      <c r="E149" s="42"/>
      <c r="F149" s="41"/>
      <c r="G149" s="41"/>
      <c r="H149" s="44"/>
      <c r="I149" s="44"/>
      <c r="J149" s="41"/>
      <c r="K149" s="41"/>
      <c r="L149" s="41"/>
      <c r="M149" s="41"/>
      <c r="N149" s="42"/>
      <c r="O149" s="41"/>
      <c r="P149" s="40"/>
      <c r="Q149" s="42"/>
      <c r="U149" s="42"/>
      <c r="V149" s="40"/>
    </row>
    <row r="150" spans="1:24" s="2" customFormat="1" x14ac:dyDescent="0.25">
      <c r="A150" s="41"/>
      <c r="B150" s="141"/>
      <c r="C150" s="41"/>
      <c r="D150" s="41"/>
      <c r="E150" s="42"/>
      <c r="F150" s="41"/>
      <c r="G150" s="41"/>
      <c r="H150" s="44"/>
      <c r="I150" s="44"/>
      <c r="J150" s="41"/>
      <c r="K150" s="41"/>
      <c r="L150" s="41"/>
      <c r="M150" s="41"/>
      <c r="N150" s="42"/>
      <c r="O150" s="41"/>
      <c r="P150" s="40"/>
      <c r="Q150" s="42"/>
      <c r="U150" s="42"/>
      <c r="V150" s="40"/>
    </row>
  </sheetData>
  <sheetProtection password="EB34" sheet="1" objects="1" scenarios="1" formatCells="0" formatColumns="0" formatRows="0"/>
  <mergeCells count="228">
    <mergeCell ref="W109:W116"/>
    <mergeCell ref="D109:D116"/>
    <mergeCell ref="E109:E116"/>
    <mergeCell ref="F109:F116"/>
    <mergeCell ref="G109:G116"/>
    <mergeCell ref="H109:H116"/>
    <mergeCell ref="I109:I116"/>
    <mergeCell ref="J109:J116"/>
    <mergeCell ref="K109:K116"/>
    <mergeCell ref="L109:L116"/>
    <mergeCell ref="M109:M116"/>
    <mergeCell ref="A16:A25"/>
    <mergeCell ref="O16:O25"/>
    <mergeCell ref="U16:U25"/>
    <mergeCell ref="B16:B25"/>
    <mergeCell ref="V16:V25"/>
    <mergeCell ref="C16:C25"/>
    <mergeCell ref="W16:W25"/>
    <mergeCell ref="D16:D25"/>
    <mergeCell ref="E16:E25"/>
    <mergeCell ref="F16:F25"/>
    <mergeCell ref="G16:G25"/>
    <mergeCell ref="H16:H25"/>
    <mergeCell ref="I16:I25"/>
    <mergeCell ref="J16:J25"/>
    <mergeCell ref="K16:K25"/>
    <mergeCell ref="L16:L25"/>
    <mergeCell ref="M16:M25"/>
    <mergeCell ref="M119:M121"/>
    <mergeCell ref="A109:A116"/>
    <mergeCell ref="O109:O116"/>
    <mergeCell ref="U109:U116"/>
    <mergeCell ref="B109:B116"/>
    <mergeCell ref="V109:V116"/>
    <mergeCell ref="C109:C116"/>
    <mergeCell ref="A119:A121"/>
    <mergeCell ref="O119:O121"/>
    <mergeCell ref="U119:U121"/>
    <mergeCell ref="B119:B121"/>
    <mergeCell ref="V119:V121"/>
    <mergeCell ref="C119:C121"/>
    <mergeCell ref="W119:W121"/>
    <mergeCell ref="A117:A118"/>
    <mergeCell ref="O117:O118"/>
    <mergeCell ref="U117:U118"/>
    <mergeCell ref="B117:B118"/>
    <mergeCell ref="V117:V118"/>
    <mergeCell ref="C117:C118"/>
    <mergeCell ref="W117:W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A71:A77"/>
    <mergeCell ref="O71:O77"/>
    <mergeCell ref="U71:U77"/>
    <mergeCell ref="B71:B77"/>
    <mergeCell ref="V71:V77"/>
    <mergeCell ref="C71:C77"/>
    <mergeCell ref="W71:W77"/>
    <mergeCell ref="D71:D77"/>
    <mergeCell ref="E71:E77"/>
    <mergeCell ref="F71:F77"/>
    <mergeCell ref="G71:G77"/>
    <mergeCell ref="H71:H77"/>
    <mergeCell ref="I71:I77"/>
    <mergeCell ref="J71:J77"/>
    <mergeCell ref="K71:K77"/>
    <mergeCell ref="L71:L77"/>
    <mergeCell ref="M71:M77"/>
    <mergeCell ref="W126:W134"/>
    <mergeCell ref="D126:D134"/>
    <mergeCell ref="E126:E134"/>
    <mergeCell ref="F126:F134"/>
    <mergeCell ref="G126:G134"/>
    <mergeCell ref="H126:H134"/>
    <mergeCell ref="I126:I134"/>
    <mergeCell ref="J126:J134"/>
    <mergeCell ref="K126:K134"/>
    <mergeCell ref="L126:L134"/>
    <mergeCell ref="M126:M134"/>
    <mergeCell ref="A126:A134"/>
    <mergeCell ref="O126:O134"/>
    <mergeCell ref="U126:U134"/>
    <mergeCell ref="B126:B134"/>
    <mergeCell ref="V126:V134"/>
    <mergeCell ref="C126:C134"/>
    <mergeCell ref="D119:D121"/>
    <mergeCell ref="E119:E121"/>
    <mergeCell ref="F119:F121"/>
    <mergeCell ref="G119:G121"/>
    <mergeCell ref="H119:H121"/>
    <mergeCell ref="I119:I121"/>
    <mergeCell ref="J119:J121"/>
    <mergeCell ref="K119:K121"/>
    <mergeCell ref="L119:L121"/>
    <mergeCell ref="A53:A63"/>
    <mergeCell ref="O53:O63"/>
    <mergeCell ref="U53:U63"/>
    <mergeCell ref="B53:B63"/>
    <mergeCell ref="V53:V63"/>
    <mergeCell ref="C53:C63"/>
    <mergeCell ref="W53:W63"/>
    <mergeCell ref="D53:D63"/>
    <mergeCell ref="E53:E63"/>
    <mergeCell ref="F53:F63"/>
    <mergeCell ref="G53:G63"/>
    <mergeCell ref="H53:H63"/>
    <mergeCell ref="I53:I63"/>
    <mergeCell ref="J53:J63"/>
    <mergeCell ref="K53:K63"/>
    <mergeCell ref="L53:L63"/>
    <mergeCell ref="M53:M63"/>
    <mergeCell ref="E43:E52"/>
    <mergeCell ref="F43:F52"/>
    <mergeCell ref="G43:G52"/>
    <mergeCell ref="H43:H52"/>
    <mergeCell ref="I43:I52"/>
    <mergeCell ref="J43:J52"/>
    <mergeCell ref="K43:K52"/>
    <mergeCell ref="L43:L52"/>
    <mergeCell ref="M43:M52"/>
    <mergeCell ref="A28:A42"/>
    <mergeCell ref="O28:O42"/>
    <mergeCell ref="U28:U42"/>
    <mergeCell ref="B28:B42"/>
    <mergeCell ref="C28:C42"/>
    <mergeCell ref="A9:A11"/>
    <mergeCell ref="O9:O11"/>
    <mergeCell ref="U9:U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W82:W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O82:O83"/>
    <mergeCell ref="U82:U83"/>
    <mergeCell ref="V82:V83"/>
    <mergeCell ref="A3:E3"/>
    <mergeCell ref="S2:U2"/>
    <mergeCell ref="N2:O2"/>
    <mergeCell ref="J4:K4"/>
    <mergeCell ref="M4:N4"/>
    <mergeCell ref="O4:P4"/>
    <mergeCell ref="K2:M2"/>
    <mergeCell ref="A12:A15"/>
    <mergeCell ref="O12:O15"/>
    <mergeCell ref="U12:U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K12:K15"/>
    <mergeCell ref="V9:V11"/>
    <mergeCell ref="W9:W11"/>
    <mergeCell ref="W28:W42"/>
    <mergeCell ref="I28:I42"/>
    <mergeCell ref="J28:J42"/>
    <mergeCell ref="K28:K42"/>
    <mergeCell ref="L28:L42"/>
    <mergeCell ref="M28:M42"/>
    <mergeCell ref="W12:W15"/>
    <mergeCell ref="V12:V15"/>
    <mergeCell ref="L12:L15"/>
    <mergeCell ref="M12:M15"/>
    <mergeCell ref="O43:O52"/>
    <mergeCell ref="U43:U52"/>
    <mergeCell ref="V43:V52"/>
    <mergeCell ref="W43:W52"/>
    <mergeCell ref="C82:C83"/>
    <mergeCell ref="A82:A83"/>
    <mergeCell ref="B82:B83"/>
    <mergeCell ref="V28:V42"/>
    <mergeCell ref="D28:D42"/>
    <mergeCell ref="E28:E42"/>
    <mergeCell ref="F28:F42"/>
    <mergeCell ref="G28:G42"/>
    <mergeCell ref="H28:H42"/>
    <mergeCell ref="A43:A52"/>
    <mergeCell ref="B43:B52"/>
    <mergeCell ref="C43:C52"/>
    <mergeCell ref="D43:D52"/>
    <mergeCell ref="A137:A138"/>
    <mergeCell ref="O137:O138"/>
    <mergeCell ref="U137:U138"/>
    <mergeCell ref="B137:B138"/>
    <mergeCell ref="V137:V138"/>
    <mergeCell ref="C137:C138"/>
    <mergeCell ref="W137:W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X178"/>
  <sheetViews>
    <sheetView showGridLines="0" tabSelected="1" topLeftCell="F1" zoomScale="50" zoomScaleNormal="50" workbookViewId="0">
      <pane ySplit="8" topLeftCell="A170" activePane="bottomLeft" state="frozen"/>
      <selection pane="bottomLeft" activeCell="K160" sqref="K160:K174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27.42578125" style="12" customWidth="1"/>
    <col min="8" max="8" width="38.42578125" style="3" bestFit="1" customWidth="1"/>
    <col min="9" max="9" width="33" style="3" customWidth="1"/>
    <col min="10" max="11" width="27.28515625" style="32" customWidth="1"/>
    <col min="12" max="12" width="21.42578125" style="3" customWidth="1"/>
    <col min="13" max="13" width="26.5703125" style="3" customWidth="1"/>
    <col min="14" max="14" width="28.140625" style="12" customWidth="1"/>
    <col min="15" max="15" width="39.28515625" style="3" customWidth="1"/>
    <col min="16" max="16" width="24.7109375" style="32" customWidth="1"/>
    <col min="17" max="17" width="24.42578125" style="12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2" customWidth="1"/>
    <col min="22" max="22" width="24" style="11" customWidth="1"/>
    <col min="23" max="23" width="21.85546875" style="8" customWidth="1"/>
    <col min="24" max="16384" width="9.140625" style="8" hidden="1"/>
  </cols>
  <sheetData>
    <row r="1" spans="1:24" ht="19.5" thickBot="1" x14ac:dyDescent="0.3"/>
    <row r="2" spans="1:24" ht="39.950000000000003" customHeight="1" thickBot="1" x14ac:dyDescent="0.3">
      <c r="E2" s="86"/>
      <c r="F2" s="669" t="s">
        <v>24</v>
      </c>
      <c r="G2" s="670"/>
      <c r="H2" s="98">
        <f>SUM(H9:H9999)</f>
        <v>4721805.21</v>
      </c>
      <c r="I2" s="86"/>
      <c r="J2" s="39"/>
      <c r="N2" s="507" t="s">
        <v>137</v>
      </c>
      <c r="O2" s="509"/>
      <c r="P2" s="87">
        <f>SUM(P9:P9999)</f>
        <v>3420076.4499999993</v>
      </c>
      <c r="R2" s="86"/>
      <c r="S2" s="507" t="s">
        <v>45</v>
      </c>
      <c r="T2" s="508"/>
      <c r="U2" s="509"/>
      <c r="V2" s="88">
        <f>SUM(V9:V9999)</f>
        <v>396939.68</v>
      </c>
    </row>
    <row r="3" spans="1:24" x14ac:dyDescent="0.25">
      <c r="F3" s="38"/>
      <c r="G3" s="38"/>
      <c r="H3" s="38"/>
      <c r="I3" s="38"/>
      <c r="J3" s="39"/>
      <c r="K3" s="40"/>
      <c r="L3" s="41"/>
      <c r="M3" s="41"/>
      <c r="N3" s="38"/>
      <c r="O3" s="38"/>
      <c r="P3" s="39"/>
      <c r="Q3" s="42"/>
      <c r="R3" s="38"/>
      <c r="S3" s="38"/>
      <c r="T3" s="38"/>
      <c r="U3" s="38"/>
      <c r="V3" s="43"/>
    </row>
    <row r="4" spans="1:24" ht="39.950000000000003" customHeight="1" x14ac:dyDescent="0.25">
      <c r="F4" s="38"/>
      <c r="G4" s="38"/>
      <c r="H4" s="38"/>
      <c r="I4" s="38"/>
      <c r="J4" s="39"/>
      <c r="K4" s="40"/>
      <c r="L4" s="41"/>
      <c r="M4" s="41"/>
      <c r="N4" s="38"/>
      <c r="O4" s="38"/>
      <c r="P4" s="39"/>
      <c r="Q4" s="42"/>
      <c r="R4" s="38"/>
      <c r="S4" s="38"/>
      <c r="T4" s="38"/>
      <c r="U4" s="38"/>
      <c r="V4" s="43"/>
    </row>
    <row r="6" spans="1:24" ht="150" x14ac:dyDescent="0.25">
      <c r="A6" s="23" t="s">
        <v>8</v>
      </c>
      <c r="B6" s="23" t="s">
        <v>47</v>
      </c>
      <c r="C6" s="23" t="s">
        <v>145</v>
      </c>
      <c r="D6" s="23" t="s">
        <v>10</v>
      </c>
      <c r="E6" s="23" t="s">
        <v>1</v>
      </c>
      <c r="F6" s="23" t="s">
        <v>2</v>
      </c>
      <c r="G6" s="30" t="s">
        <v>3</v>
      </c>
      <c r="H6" s="23" t="s">
        <v>4</v>
      </c>
      <c r="I6" s="23" t="s">
        <v>22</v>
      </c>
      <c r="J6" s="33" t="s">
        <v>46</v>
      </c>
      <c r="K6" s="33" t="s">
        <v>5</v>
      </c>
      <c r="L6" s="23" t="s">
        <v>106</v>
      </c>
      <c r="M6" s="23" t="s">
        <v>39</v>
      </c>
      <c r="N6" s="30" t="s">
        <v>37</v>
      </c>
      <c r="O6" s="23" t="s">
        <v>6</v>
      </c>
      <c r="P6" s="33" t="s">
        <v>23</v>
      </c>
      <c r="Q6" s="30" t="s">
        <v>9</v>
      </c>
      <c r="R6" s="28" t="s">
        <v>40</v>
      </c>
      <c r="S6" s="28" t="s">
        <v>103</v>
      </c>
      <c r="T6" s="28" t="s">
        <v>104</v>
      </c>
      <c r="U6" s="27" t="s">
        <v>41</v>
      </c>
      <c r="V6" s="31" t="s">
        <v>43</v>
      </c>
      <c r="W6" s="1" t="s">
        <v>42</v>
      </c>
    </row>
    <row r="7" spans="1:24" x14ac:dyDescent="0.25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</row>
    <row r="8" spans="1:24" s="18" customFormat="1" ht="131.25" x14ac:dyDescent="0.25">
      <c r="A8" s="26" t="s">
        <v>36</v>
      </c>
      <c r="B8" s="26" t="s">
        <v>56</v>
      </c>
      <c r="C8" s="26"/>
      <c r="D8" s="26" t="s">
        <v>58</v>
      </c>
      <c r="E8" s="26" t="s">
        <v>57</v>
      </c>
      <c r="F8" s="77">
        <v>43839</v>
      </c>
      <c r="G8" s="25" t="s">
        <v>59</v>
      </c>
      <c r="H8" s="24">
        <v>20000</v>
      </c>
      <c r="I8" s="24">
        <v>0</v>
      </c>
      <c r="J8" s="76">
        <v>2353019514</v>
      </c>
      <c r="K8" s="34" t="s">
        <v>61</v>
      </c>
      <c r="L8" s="26"/>
      <c r="M8" s="26" t="s">
        <v>62</v>
      </c>
      <c r="N8" s="25">
        <v>43840</v>
      </c>
      <c r="O8" s="26" t="s">
        <v>63</v>
      </c>
      <c r="P8" s="34">
        <v>20000</v>
      </c>
      <c r="Q8" s="25">
        <v>43840</v>
      </c>
      <c r="R8" s="26"/>
      <c r="S8" s="72"/>
      <c r="T8" s="72"/>
      <c r="U8" s="25"/>
      <c r="V8" s="24"/>
      <c r="W8" s="13" t="s">
        <v>64</v>
      </c>
    </row>
    <row r="9" spans="1:24" s="117" customFormat="1" ht="131.25" customHeight="1" x14ac:dyDescent="0.25">
      <c r="A9" s="536">
        <v>1</v>
      </c>
      <c r="B9" s="572" t="s">
        <v>56</v>
      </c>
      <c r="C9" s="522" t="s">
        <v>146</v>
      </c>
      <c r="D9" s="522" t="s">
        <v>160</v>
      </c>
      <c r="E9" s="522" t="s">
        <v>161</v>
      </c>
      <c r="F9" s="526">
        <v>44153</v>
      </c>
      <c r="G9" s="524" t="s">
        <v>150</v>
      </c>
      <c r="H9" s="528">
        <v>325800</v>
      </c>
      <c r="I9" s="530">
        <f>IF(X9 = 1, H9 + SUM(S9:S14) - SUM(T9:T14) - SUM(P9:P14) - V9,0)</f>
        <v>0</v>
      </c>
      <c r="J9" s="612">
        <v>2311119676</v>
      </c>
      <c r="K9" s="615" t="s">
        <v>151</v>
      </c>
      <c r="L9" s="522" t="s">
        <v>146</v>
      </c>
      <c r="M9" s="522" t="s">
        <v>152</v>
      </c>
      <c r="N9" s="245">
        <v>44227</v>
      </c>
      <c r="O9" s="532" t="s">
        <v>63</v>
      </c>
      <c r="P9" s="236">
        <v>55800</v>
      </c>
      <c r="Q9" s="237">
        <v>44237</v>
      </c>
      <c r="R9" s="238"/>
      <c r="S9" s="236"/>
      <c r="T9" s="236"/>
      <c r="U9" s="528"/>
      <c r="V9" s="605"/>
      <c r="W9" s="520"/>
      <c r="X9" s="117">
        <v>1</v>
      </c>
    </row>
    <row r="10" spans="1:24" s="2" customFormat="1" x14ac:dyDescent="0.25">
      <c r="A10" s="571"/>
      <c r="B10" s="573"/>
      <c r="C10" s="575"/>
      <c r="D10" s="575"/>
      <c r="E10" s="575"/>
      <c r="F10" s="609"/>
      <c r="G10" s="610"/>
      <c r="H10" s="604"/>
      <c r="I10" s="611"/>
      <c r="J10" s="613"/>
      <c r="K10" s="616"/>
      <c r="L10" s="575"/>
      <c r="M10" s="575"/>
      <c r="N10" s="246">
        <v>44255</v>
      </c>
      <c r="O10" s="603"/>
      <c r="P10" s="239">
        <v>50400</v>
      </c>
      <c r="Q10" s="240">
        <v>44259</v>
      </c>
      <c r="R10" s="241"/>
      <c r="S10" s="239"/>
      <c r="T10" s="239"/>
      <c r="U10" s="604"/>
      <c r="V10" s="606"/>
      <c r="W10" s="608"/>
      <c r="X10" s="2">
        <v>1</v>
      </c>
    </row>
    <row r="11" spans="1:24" s="2" customFormat="1" x14ac:dyDescent="0.25">
      <c r="A11" s="571"/>
      <c r="B11" s="573"/>
      <c r="C11" s="575"/>
      <c r="D11" s="575"/>
      <c r="E11" s="575"/>
      <c r="F11" s="609"/>
      <c r="G11" s="610"/>
      <c r="H11" s="604"/>
      <c r="I11" s="611"/>
      <c r="J11" s="613"/>
      <c r="K11" s="616"/>
      <c r="L11" s="575"/>
      <c r="M11" s="575"/>
      <c r="N11" s="246">
        <v>44286</v>
      </c>
      <c r="O11" s="603"/>
      <c r="P11" s="239">
        <v>55800</v>
      </c>
      <c r="Q11" s="240">
        <v>44287</v>
      </c>
      <c r="R11" s="241"/>
      <c r="S11" s="239"/>
      <c r="T11" s="239"/>
      <c r="U11" s="604"/>
      <c r="V11" s="606"/>
      <c r="W11" s="608"/>
      <c r="X11" s="2">
        <v>1</v>
      </c>
    </row>
    <row r="12" spans="1:24" s="2" customFormat="1" x14ac:dyDescent="0.25">
      <c r="A12" s="571"/>
      <c r="B12" s="573"/>
      <c r="C12" s="575"/>
      <c r="D12" s="575"/>
      <c r="E12" s="575"/>
      <c r="F12" s="609"/>
      <c r="G12" s="610"/>
      <c r="H12" s="604"/>
      <c r="I12" s="611"/>
      <c r="J12" s="613"/>
      <c r="K12" s="616"/>
      <c r="L12" s="575"/>
      <c r="M12" s="575"/>
      <c r="N12" s="246">
        <v>44316</v>
      </c>
      <c r="O12" s="603"/>
      <c r="P12" s="239">
        <v>54000</v>
      </c>
      <c r="Q12" s="240">
        <v>44330</v>
      </c>
      <c r="R12" s="241"/>
      <c r="S12" s="239"/>
      <c r="T12" s="239"/>
      <c r="U12" s="604"/>
      <c r="V12" s="606"/>
      <c r="W12" s="608"/>
      <c r="X12" s="2">
        <v>1</v>
      </c>
    </row>
    <row r="13" spans="1:24" s="2" customFormat="1" x14ac:dyDescent="0.25">
      <c r="A13" s="571"/>
      <c r="B13" s="573"/>
      <c r="C13" s="575"/>
      <c r="D13" s="575"/>
      <c r="E13" s="575"/>
      <c r="F13" s="609"/>
      <c r="G13" s="610"/>
      <c r="H13" s="604"/>
      <c r="I13" s="611"/>
      <c r="J13" s="613"/>
      <c r="K13" s="616"/>
      <c r="L13" s="575"/>
      <c r="M13" s="575"/>
      <c r="N13" s="246">
        <v>44347</v>
      </c>
      <c r="O13" s="603"/>
      <c r="P13" s="239">
        <v>55800</v>
      </c>
      <c r="Q13" s="240">
        <v>44348</v>
      </c>
      <c r="R13" s="241"/>
      <c r="S13" s="239"/>
      <c r="T13" s="239"/>
      <c r="U13" s="604"/>
      <c r="V13" s="606"/>
      <c r="W13" s="608"/>
      <c r="X13" s="2">
        <v>1</v>
      </c>
    </row>
    <row r="14" spans="1:24" s="2" customFormat="1" x14ac:dyDescent="0.25">
      <c r="A14" s="537"/>
      <c r="B14" s="574"/>
      <c r="C14" s="523"/>
      <c r="D14" s="523"/>
      <c r="E14" s="523"/>
      <c r="F14" s="527"/>
      <c r="G14" s="525"/>
      <c r="H14" s="529"/>
      <c r="I14" s="531"/>
      <c r="J14" s="614"/>
      <c r="K14" s="617"/>
      <c r="L14" s="523"/>
      <c r="M14" s="523"/>
      <c r="N14" s="247">
        <v>44377</v>
      </c>
      <c r="O14" s="533"/>
      <c r="P14" s="242">
        <v>54000</v>
      </c>
      <c r="Q14" s="243">
        <v>44384</v>
      </c>
      <c r="R14" s="244"/>
      <c r="S14" s="242"/>
      <c r="T14" s="242"/>
      <c r="U14" s="529"/>
      <c r="V14" s="607"/>
      <c r="W14" s="521"/>
      <c r="X14" s="2">
        <v>1</v>
      </c>
    </row>
    <row r="15" spans="1:24" s="117" customFormat="1" ht="131.25" customHeight="1" x14ac:dyDescent="0.25">
      <c r="A15" s="536">
        <v>2</v>
      </c>
      <c r="B15" s="572" t="s">
        <v>56</v>
      </c>
      <c r="C15" s="522" t="s">
        <v>146</v>
      </c>
      <c r="D15" s="522" t="s">
        <v>147</v>
      </c>
      <c r="E15" s="522" t="s">
        <v>148</v>
      </c>
      <c r="F15" s="526">
        <v>44196</v>
      </c>
      <c r="G15" s="524" t="s">
        <v>153</v>
      </c>
      <c r="H15" s="528">
        <v>7200</v>
      </c>
      <c r="I15" s="530">
        <f>IF(X15 = 2, H15 + SUM(S15:S20) - SUM(T15:T20) - SUM(P15:P20) - V15,0)</f>
        <v>0</v>
      </c>
      <c r="J15" s="612">
        <v>2311148532</v>
      </c>
      <c r="K15" s="615" t="s">
        <v>162</v>
      </c>
      <c r="L15" s="522" t="s">
        <v>146</v>
      </c>
      <c r="M15" s="522" t="s">
        <v>152</v>
      </c>
      <c r="N15" s="245">
        <v>44227</v>
      </c>
      <c r="O15" s="532" t="s">
        <v>63</v>
      </c>
      <c r="P15" s="236">
        <v>1200</v>
      </c>
      <c r="Q15" s="237">
        <v>44257</v>
      </c>
      <c r="R15" s="238"/>
      <c r="S15" s="236"/>
      <c r="T15" s="236"/>
      <c r="U15" s="528"/>
      <c r="V15" s="605"/>
      <c r="W15" s="520"/>
      <c r="X15" s="117">
        <v>2</v>
      </c>
    </row>
    <row r="16" spans="1:24" s="2" customFormat="1" x14ac:dyDescent="0.25">
      <c r="A16" s="571"/>
      <c r="B16" s="573"/>
      <c r="C16" s="575"/>
      <c r="D16" s="575"/>
      <c r="E16" s="575"/>
      <c r="F16" s="609"/>
      <c r="G16" s="610"/>
      <c r="H16" s="604"/>
      <c r="I16" s="611"/>
      <c r="J16" s="613"/>
      <c r="K16" s="616"/>
      <c r="L16" s="575"/>
      <c r="M16" s="575"/>
      <c r="N16" s="246">
        <v>44255</v>
      </c>
      <c r="O16" s="603"/>
      <c r="P16" s="239">
        <v>1200</v>
      </c>
      <c r="Q16" s="240">
        <v>44257</v>
      </c>
      <c r="R16" s="241"/>
      <c r="S16" s="239"/>
      <c r="T16" s="239"/>
      <c r="U16" s="604"/>
      <c r="V16" s="606"/>
      <c r="W16" s="608"/>
      <c r="X16" s="2">
        <v>2</v>
      </c>
    </row>
    <row r="17" spans="1:24" s="2" customFormat="1" x14ac:dyDescent="0.25">
      <c r="A17" s="571"/>
      <c r="B17" s="573"/>
      <c r="C17" s="575"/>
      <c r="D17" s="575"/>
      <c r="E17" s="575"/>
      <c r="F17" s="609"/>
      <c r="G17" s="610"/>
      <c r="H17" s="604"/>
      <c r="I17" s="611"/>
      <c r="J17" s="613"/>
      <c r="K17" s="616"/>
      <c r="L17" s="575"/>
      <c r="M17" s="575"/>
      <c r="N17" s="246">
        <v>44286</v>
      </c>
      <c r="O17" s="603"/>
      <c r="P17" s="239">
        <v>1200</v>
      </c>
      <c r="Q17" s="240">
        <v>44287</v>
      </c>
      <c r="R17" s="241"/>
      <c r="S17" s="239"/>
      <c r="T17" s="239"/>
      <c r="U17" s="604"/>
      <c r="V17" s="606"/>
      <c r="W17" s="608"/>
      <c r="X17" s="2">
        <v>2</v>
      </c>
    </row>
    <row r="18" spans="1:24" s="2" customFormat="1" x14ac:dyDescent="0.25">
      <c r="A18" s="571"/>
      <c r="B18" s="573"/>
      <c r="C18" s="575"/>
      <c r="D18" s="575"/>
      <c r="E18" s="575"/>
      <c r="F18" s="609"/>
      <c r="G18" s="610"/>
      <c r="H18" s="604"/>
      <c r="I18" s="611"/>
      <c r="J18" s="613"/>
      <c r="K18" s="616"/>
      <c r="L18" s="575"/>
      <c r="M18" s="575"/>
      <c r="N18" s="246">
        <v>44316</v>
      </c>
      <c r="O18" s="603"/>
      <c r="P18" s="239">
        <v>1200</v>
      </c>
      <c r="Q18" s="240">
        <v>44330</v>
      </c>
      <c r="R18" s="241"/>
      <c r="S18" s="239"/>
      <c r="T18" s="239"/>
      <c r="U18" s="604"/>
      <c r="V18" s="606"/>
      <c r="W18" s="608"/>
      <c r="X18" s="2">
        <v>2</v>
      </c>
    </row>
    <row r="19" spans="1:24" s="2" customFormat="1" x14ac:dyDescent="0.25">
      <c r="A19" s="571"/>
      <c r="B19" s="573"/>
      <c r="C19" s="575"/>
      <c r="D19" s="575"/>
      <c r="E19" s="575"/>
      <c r="F19" s="609"/>
      <c r="G19" s="610"/>
      <c r="H19" s="604"/>
      <c r="I19" s="611"/>
      <c r="J19" s="613"/>
      <c r="K19" s="616"/>
      <c r="L19" s="575"/>
      <c r="M19" s="575"/>
      <c r="N19" s="246">
        <v>44347</v>
      </c>
      <c r="O19" s="603"/>
      <c r="P19" s="239">
        <v>1200</v>
      </c>
      <c r="Q19" s="240">
        <v>44348</v>
      </c>
      <c r="R19" s="241"/>
      <c r="S19" s="239"/>
      <c r="T19" s="239"/>
      <c r="U19" s="604"/>
      <c r="V19" s="606"/>
      <c r="W19" s="608"/>
      <c r="X19" s="2">
        <v>2</v>
      </c>
    </row>
    <row r="20" spans="1:24" s="2" customFormat="1" x14ac:dyDescent="0.25">
      <c r="A20" s="537"/>
      <c r="B20" s="574"/>
      <c r="C20" s="523"/>
      <c r="D20" s="523"/>
      <c r="E20" s="523"/>
      <c r="F20" s="527"/>
      <c r="G20" s="525"/>
      <c r="H20" s="529"/>
      <c r="I20" s="531"/>
      <c r="J20" s="614"/>
      <c r="K20" s="617"/>
      <c r="L20" s="523"/>
      <c r="M20" s="523"/>
      <c r="N20" s="247">
        <v>44377</v>
      </c>
      <c r="O20" s="533"/>
      <c r="P20" s="242">
        <v>1200</v>
      </c>
      <c r="Q20" s="243">
        <v>44384</v>
      </c>
      <c r="R20" s="244"/>
      <c r="S20" s="242"/>
      <c r="T20" s="242"/>
      <c r="U20" s="529"/>
      <c r="V20" s="607"/>
      <c r="W20" s="521"/>
      <c r="X20" s="2">
        <v>2</v>
      </c>
    </row>
    <row r="21" spans="1:24" s="117" customFormat="1" ht="131.25" customHeight="1" x14ac:dyDescent="0.25">
      <c r="A21" s="705">
        <v>3</v>
      </c>
      <c r="B21" s="706" t="s">
        <v>56</v>
      </c>
      <c r="C21" s="707" t="s">
        <v>146</v>
      </c>
      <c r="D21" s="707" t="s">
        <v>147</v>
      </c>
      <c r="E21" s="707" t="s">
        <v>154</v>
      </c>
      <c r="F21" s="744">
        <v>44196</v>
      </c>
      <c r="G21" s="708" t="s">
        <v>155</v>
      </c>
      <c r="H21" s="709">
        <v>68431.87</v>
      </c>
      <c r="I21" s="710">
        <f>IF(X21 = 3, H21 + SUM(S21:S30) - SUM(T21:T30) - SUM(P21:P30) - V21,0)</f>
        <v>37959.179999999993</v>
      </c>
      <c r="J21" s="711">
        <v>2353022813</v>
      </c>
      <c r="K21" s="712" t="s">
        <v>156</v>
      </c>
      <c r="L21" s="707" t="s">
        <v>146</v>
      </c>
      <c r="M21" s="707" t="s">
        <v>163</v>
      </c>
      <c r="N21" s="747">
        <v>44227</v>
      </c>
      <c r="O21" s="750" t="s">
        <v>164</v>
      </c>
      <c r="P21" s="713">
        <v>1735.79</v>
      </c>
      <c r="Q21" s="714">
        <v>44264</v>
      </c>
      <c r="R21" s="715"/>
      <c r="S21" s="713"/>
      <c r="T21" s="713"/>
      <c r="U21" s="709"/>
      <c r="V21" s="716"/>
      <c r="W21" s="717"/>
      <c r="X21" s="117">
        <v>3</v>
      </c>
    </row>
    <row r="22" spans="1:24" s="2" customFormat="1" x14ac:dyDescent="0.25">
      <c r="A22" s="718"/>
      <c r="B22" s="719"/>
      <c r="C22" s="720"/>
      <c r="D22" s="720"/>
      <c r="E22" s="720"/>
      <c r="F22" s="745"/>
      <c r="G22" s="721"/>
      <c r="H22" s="722"/>
      <c r="I22" s="723"/>
      <c r="J22" s="724"/>
      <c r="K22" s="725"/>
      <c r="L22" s="720"/>
      <c r="M22" s="720"/>
      <c r="N22" s="748">
        <v>44255</v>
      </c>
      <c r="O22" s="751"/>
      <c r="P22" s="726">
        <v>4628.76</v>
      </c>
      <c r="Q22" s="727">
        <v>44284</v>
      </c>
      <c r="R22" s="728"/>
      <c r="S22" s="726"/>
      <c r="T22" s="726"/>
      <c r="U22" s="722"/>
      <c r="V22" s="729"/>
      <c r="W22" s="730"/>
      <c r="X22" s="2">
        <v>3</v>
      </c>
    </row>
    <row r="23" spans="1:24" s="2" customFormat="1" x14ac:dyDescent="0.25">
      <c r="A23" s="718"/>
      <c r="B23" s="719"/>
      <c r="C23" s="720"/>
      <c r="D23" s="720"/>
      <c r="E23" s="720"/>
      <c r="F23" s="745"/>
      <c r="G23" s="721"/>
      <c r="H23" s="722"/>
      <c r="I23" s="723"/>
      <c r="J23" s="724"/>
      <c r="K23" s="725"/>
      <c r="L23" s="720"/>
      <c r="M23" s="720"/>
      <c r="N23" s="748">
        <v>44286</v>
      </c>
      <c r="O23" s="751"/>
      <c r="P23" s="726">
        <v>3278.71</v>
      </c>
      <c r="Q23" s="727">
        <v>44300</v>
      </c>
      <c r="R23" s="728"/>
      <c r="S23" s="726"/>
      <c r="T23" s="726"/>
      <c r="U23" s="722"/>
      <c r="V23" s="729"/>
      <c r="W23" s="730"/>
      <c r="X23" s="2">
        <v>3</v>
      </c>
    </row>
    <row r="24" spans="1:24" s="2" customFormat="1" x14ac:dyDescent="0.25">
      <c r="A24" s="718"/>
      <c r="B24" s="719"/>
      <c r="C24" s="720"/>
      <c r="D24" s="720"/>
      <c r="E24" s="720"/>
      <c r="F24" s="745"/>
      <c r="G24" s="721"/>
      <c r="H24" s="722"/>
      <c r="I24" s="723"/>
      <c r="J24" s="724"/>
      <c r="K24" s="725"/>
      <c r="L24" s="720"/>
      <c r="M24" s="720"/>
      <c r="N24" s="748">
        <v>44316</v>
      </c>
      <c r="O24" s="751"/>
      <c r="P24" s="726">
        <v>3664.44</v>
      </c>
      <c r="Q24" s="727">
        <v>44337</v>
      </c>
      <c r="R24" s="728"/>
      <c r="S24" s="726"/>
      <c r="T24" s="726"/>
      <c r="U24" s="722"/>
      <c r="V24" s="729"/>
      <c r="W24" s="730"/>
      <c r="X24" s="2">
        <v>3</v>
      </c>
    </row>
    <row r="25" spans="1:24" s="2" customFormat="1" x14ac:dyDescent="0.25">
      <c r="A25" s="718"/>
      <c r="B25" s="719"/>
      <c r="C25" s="720"/>
      <c r="D25" s="720"/>
      <c r="E25" s="720"/>
      <c r="F25" s="745"/>
      <c r="G25" s="721"/>
      <c r="H25" s="722"/>
      <c r="I25" s="723"/>
      <c r="J25" s="724"/>
      <c r="K25" s="725"/>
      <c r="L25" s="720"/>
      <c r="M25" s="720"/>
      <c r="N25" s="748">
        <v>44347</v>
      </c>
      <c r="O25" s="751"/>
      <c r="P25" s="726">
        <v>3857.3</v>
      </c>
      <c r="Q25" s="727">
        <v>44363</v>
      </c>
      <c r="R25" s="728"/>
      <c r="S25" s="726"/>
      <c r="T25" s="726"/>
      <c r="U25" s="722"/>
      <c r="V25" s="729"/>
      <c r="W25" s="730"/>
      <c r="X25" s="2">
        <v>3</v>
      </c>
    </row>
    <row r="26" spans="1:24" s="2" customFormat="1" x14ac:dyDescent="0.25">
      <c r="A26" s="718"/>
      <c r="B26" s="719"/>
      <c r="C26" s="720"/>
      <c r="D26" s="720"/>
      <c r="E26" s="720"/>
      <c r="F26" s="745"/>
      <c r="G26" s="721"/>
      <c r="H26" s="722"/>
      <c r="I26" s="723"/>
      <c r="J26" s="724"/>
      <c r="K26" s="725"/>
      <c r="L26" s="720"/>
      <c r="M26" s="720"/>
      <c r="N26" s="748">
        <v>44377</v>
      </c>
      <c r="O26" s="751"/>
      <c r="P26" s="726">
        <v>1542.92</v>
      </c>
      <c r="Q26" s="727">
        <v>44396</v>
      </c>
      <c r="R26" s="728"/>
      <c r="S26" s="726"/>
      <c r="T26" s="726"/>
      <c r="U26" s="722"/>
      <c r="V26" s="729"/>
      <c r="W26" s="730"/>
      <c r="X26" s="2">
        <v>3</v>
      </c>
    </row>
    <row r="27" spans="1:24" s="2" customFormat="1" x14ac:dyDescent="0.25">
      <c r="A27" s="718"/>
      <c r="B27" s="719"/>
      <c r="C27" s="720"/>
      <c r="D27" s="720"/>
      <c r="E27" s="720"/>
      <c r="F27" s="745"/>
      <c r="G27" s="721"/>
      <c r="H27" s="722"/>
      <c r="I27" s="723"/>
      <c r="J27" s="724"/>
      <c r="K27" s="725"/>
      <c r="L27" s="720"/>
      <c r="M27" s="720"/>
      <c r="N27" s="748">
        <v>44408</v>
      </c>
      <c r="O27" s="751"/>
      <c r="P27" s="726">
        <v>771.46</v>
      </c>
      <c r="Q27" s="727">
        <v>44438</v>
      </c>
      <c r="R27" s="728"/>
      <c r="S27" s="726"/>
      <c r="T27" s="726"/>
      <c r="U27" s="722"/>
      <c r="V27" s="729"/>
      <c r="W27" s="730"/>
      <c r="X27" s="2">
        <v>3</v>
      </c>
    </row>
    <row r="28" spans="1:24" s="2" customFormat="1" x14ac:dyDescent="0.25">
      <c r="A28" s="718"/>
      <c r="B28" s="719"/>
      <c r="C28" s="720"/>
      <c r="D28" s="720"/>
      <c r="E28" s="720"/>
      <c r="F28" s="745"/>
      <c r="G28" s="721"/>
      <c r="H28" s="722"/>
      <c r="I28" s="723"/>
      <c r="J28" s="724"/>
      <c r="K28" s="725"/>
      <c r="L28" s="720"/>
      <c r="M28" s="720"/>
      <c r="N28" s="748">
        <v>44439</v>
      </c>
      <c r="O28" s="751"/>
      <c r="P28" s="726">
        <v>2314.38</v>
      </c>
      <c r="Q28" s="727">
        <v>44487</v>
      </c>
      <c r="R28" s="728"/>
      <c r="S28" s="726"/>
      <c r="T28" s="726"/>
      <c r="U28" s="722"/>
      <c r="V28" s="729"/>
      <c r="W28" s="730"/>
      <c r="X28" s="2">
        <v>3</v>
      </c>
    </row>
    <row r="29" spans="1:24" s="2" customFormat="1" x14ac:dyDescent="0.25">
      <c r="A29" s="718"/>
      <c r="B29" s="719"/>
      <c r="C29" s="720"/>
      <c r="D29" s="720"/>
      <c r="E29" s="720"/>
      <c r="F29" s="745"/>
      <c r="G29" s="721"/>
      <c r="H29" s="722"/>
      <c r="I29" s="723"/>
      <c r="J29" s="724"/>
      <c r="K29" s="725"/>
      <c r="L29" s="720"/>
      <c r="M29" s="720"/>
      <c r="N29" s="748">
        <v>44469</v>
      </c>
      <c r="O29" s="751"/>
      <c r="P29" s="726">
        <v>5400.22</v>
      </c>
      <c r="Q29" s="727">
        <v>44487</v>
      </c>
      <c r="R29" s="728"/>
      <c r="S29" s="726"/>
      <c r="T29" s="726"/>
      <c r="U29" s="722"/>
      <c r="V29" s="729"/>
      <c r="W29" s="730"/>
      <c r="X29" s="2">
        <v>3</v>
      </c>
    </row>
    <row r="30" spans="1:24" s="2" customFormat="1" x14ac:dyDescent="0.25">
      <c r="A30" s="731"/>
      <c r="B30" s="732"/>
      <c r="C30" s="733"/>
      <c r="D30" s="733"/>
      <c r="E30" s="733"/>
      <c r="F30" s="746"/>
      <c r="G30" s="734"/>
      <c r="H30" s="735"/>
      <c r="I30" s="736"/>
      <c r="J30" s="737"/>
      <c r="K30" s="738"/>
      <c r="L30" s="733"/>
      <c r="M30" s="733"/>
      <c r="N30" s="749">
        <v>44498</v>
      </c>
      <c r="O30" s="752"/>
      <c r="P30" s="739">
        <v>3278.71</v>
      </c>
      <c r="Q30" s="740">
        <v>44522</v>
      </c>
      <c r="R30" s="741"/>
      <c r="S30" s="739"/>
      <c r="T30" s="739"/>
      <c r="U30" s="735"/>
      <c r="V30" s="742"/>
      <c r="W30" s="743"/>
      <c r="X30" s="2">
        <v>3</v>
      </c>
    </row>
    <row r="31" spans="1:24" s="117" customFormat="1" ht="37.5" customHeight="1" x14ac:dyDescent="0.25">
      <c r="A31" s="705">
        <v>4</v>
      </c>
      <c r="B31" s="706" t="s">
        <v>56</v>
      </c>
      <c r="C31" s="707" t="s">
        <v>146</v>
      </c>
      <c r="D31" s="707" t="s">
        <v>147</v>
      </c>
      <c r="E31" s="707" t="s">
        <v>157</v>
      </c>
      <c r="F31" s="744">
        <v>44210</v>
      </c>
      <c r="G31" s="708">
        <v>0</v>
      </c>
      <c r="H31" s="709">
        <v>359100</v>
      </c>
      <c r="I31" s="710">
        <f>IF(X31 = 4, H31 + SUM(S31:S56) - SUM(T31:T56) - SUM(P31:P56) - V31,0)</f>
        <v>22375.929999999993</v>
      </c>
      <c r="J31" s="711">
        <v>2308119595</v>
      </c>
      <c r="K31" s="712" t="s">
        <v>158</v>
      </c>
      <c r="L31" s="707" t="s">
        <v>146</v>
      </c>
      <c r="M31" s="707" t="s">
        <v>152</v>
      </c>
      <c r="N31" s="747">
        <v>44197</v>
      </c>
      <c r="O31" s="750" t="s">
        <v>165</v>
      </c>
      <c r="P31" s="713">
        <v>14233.76</v>
      </c>
      <c r="Q31" s="714">
        <v>44214</v>
      </c>
      <c r="R31" s="715"/>
      <c r="S31" s="713"/>
      <c r="T31" s="713"/>
      <c r="U31" s="709"/>
      <c r="V31" s="716"/>
      <c r="W31" s="717"/>
      <c r="X31" s="117">
        <v>4</v>
      </c>
    </row>
    <row r="32" spans="1:24" s="2" customFormat="1" x14ac:dyDescent="0.25">
      <c r="A32" s="718"/>
      <c r="B32" s="719"/>
      <c r="C32" s="720"/>
      <c r="D32" s="720"/>
      <c r="E32" s="720"/>
      <c r="F32" s="745"/>
      <c r="G32" s="721"/>
      <c r="H32" s="722"/>
      <c r="I32" s="723"/>
      <c r="J32" s="724"/>
      <c r="K32" s="725"/>
      <c r="L32" s="720"/>
      <c r="M32" s="720"/>
      <c r="N32" s="748">
        <v>44197</v>
      </c>
      <c r="O32" s="751"/>
      <c r="P32" s="726">
        <v>22503.94</v>
      </c>
      <c r="Q32" s="727">
        <v>44218</v>
      </c>
      <c r="R32" s="728"/>
      <c r="S32" s="726"/>
      <c r="T32" s="726"/>
      <c r="U32" s="722"/>
      <c r="V32" s="729"/>
      <c r="W32" s="730"/>
      <c r="X32" s="2">
        <v>4</v>
      </c>
    </row>
    <row r="33" spans="1:24" s="2" customFormat="1" x14ac:dyDescent="0.25">
      <c r="A33" s="718"/>
      <c r="B33" s="719"/>
      <c r="C33" s="720"/>
      <c r="D33" s="720"/>
      <c r="E33" s="720"/>
      <c r="F33" s="745"/>
      <c r="G33" s="721"/>
      <c r="H33" s="722"/>
      <c r="I33" s="723"/>
      <c r="J33" s="724"/>
      <c r="K33" s="725"/>
      <c r="L33" s="720"/>
      <c r="M33" s="720"/>
      <c r="N33" s="748">
        <v>44228</v>
      </c>
      <c r="O33" s="751"/>
      <c r="P33" s="726">
        <v>16877.95</v>
      </c>
      <c r="Q33" s="727">
        <v>44229</v>
      </c>
      <c r="R33" s="728"/>
      <c r="S33" s="726"/>
      <c r="T33" s="726"/>
      <c r="U33" s="722"/>
      <c r="V33" s="729"/>
      <c r="W33" s="730"/>
      <c r="X33" s="2">
        <v>4</v>
      </c>
    </row>
    <row r="34" spans="1:24" s="2" customFormat="1" x14ac:dyDescent="0.25">
      <c r="A34" s="718"/>
      <c r="B34" s="719"/>
      <c r="C34" s="720"/>
      <c r="D34" s="720"/>
      <c r="E34" s="720"/>
      <c r="F34" s="745"/>
      <c r="G34" s="721"/>
      <c r="H34" s="722"/>
      <c r="I34" s="723"/>
      <c r="J34" s="724"/>
      <c r="K34" s="725"/>
      <c r="L34" s="720"/>
      <c r="M34" s="720"/>
      <c r="N34" s="748">
        <v>44228</v>
      </c>
      <c r="O34" s="751"/>
      <c r="P34" s="726">
        <v>11794.64</v>
      </c>
      <c r="Q34" s="727">
        <v>44244</v>
      </c>
      <c r="R34" s="728"/>
      <c r="S34" s="726"/>
      <c r="T34" s="726"/>
      <c r="U34" s="722"/>
      <c r="V34" s="729"/>
      <c r="W34" s="730"/>
      <c r="X34" s="2">
        <v>4</v>
      </c>
    </row>
    <row r="35" spans="1:24" s="2" customFormat="1" x14ac:dyDescent="0.25">
      <c r="A35" s="718"/>
      <c r="B35" s="719"/>
      <c r="C35" s="720"/>
      <c r="D35" s="720"/>
      <c r="E35" s="720"/>
      <c r="F35" s="745"/>
      <c r="G35" s="721"/>
      <c r="H35" s="722"/>
      <c r="I35" s="723"/>
      <c r="J35" s="724"/>
      <c r="K35" s="725"/>
      <c r="L35" s="720"/>
      <c r="M35" s="720"/>
      <c r="N35" s="748">
        <v>44256</v>
      </c>
      <c r="O35" s="751"/>
      <c r="P35" s="726">
        <v>8845.99</v>
      </c>
      <c r="Q35" s="727">
        <v>44258</v>
      </c>
      <c r="R35" s="728"/>
      <c r="S35" s="726"/>
      <c r="T35" s="726"/>
      <c r="U35" s="722"/>
      <c r="V35" s="729"/>
      <c r="W35" s="730"/>
      <c r="X35" s="2">
        <v>4</v>
      </c>
    </row>
    <row r="36" spans="1:24" s="2" customFormat="1" x14ac:dyDescent="0.25">
      <c r="A36" s="718"/>
      <c r="B36" s="719"/>
      <c r="C36" s="720"/>
      <c r="D36" s="720"/>
      <c r="E36" s="720"/>
      <c r="F36" s="745"/>
      <c r="G36" s="721"/>
      <c r="H36" s="722"/>
      <c r="I36" s="723"/>
      <c r="J36" s="724"/>
      <c r="K36" s="725"/>
      <c r="L36" s="720"/>
      <c r="M36" s="720"/>
      <c r="N36" s="748">
        <v>44255</v>
      </c>
      <c r="O36" s="751"/>
      <c r="P36" s="726">
        <v>9539.02</v>
      </c>
      <c r="Q36" s="727">
        <v>44271</v>
      </c>
      <c r="R36" s="728"/>
      <c r="S36" s="726"/>
      <c r="T36" s="726"/>
      <c r="U36" s="722"/>
      <c r="V36" s="729"/>
      <c r="W36" s="730"/>
      <c r="X36" s="2">
        <v>4</v>
      </c>
    </row>
    <row r="37" spans="1:24" s="2" customFormat="1" x14ac:dyDescent="0.25">
      <c r="A37" s="718"/>
      <c r="B37" s="719"/>
      <c r="C37" s="720"/>
      <c r="D37" s="720"/>
      <c r="E37" s="720"/>
      <c r="F37" s="745"/>
      <c r="G37" s="721"/>
      <c r="H37" s="722"/>
      <c r="I37" s="723"/>
      <c r="J37" s="724"/>
      <c r="K37" s="725"/>
      <c r="L37" s="720"/>
      <c r="M37" s="720"/>
      <c r="N37" s="748">
        <v>44256</v>
      </c>
      <c r="O37" s="751"/>
      <c r="P37" s="726">
        <v>21745.72</v>
      </c>
      <c r="Q37" s="727">
        <v>44271</v>
      </c>
      <c r="R37" s="728"/>
      <c r="S37" s="726"/>
      <c r="T37" s="726"/>
      <c r="U37" s="722"/>
      <c r="V37" s="729"/>
      <c r="W37" s="730"/>
      <c r="X37" s="2">
        <v>4</v>
      </c>
    </row>
    <row r="38" spans="1:24" s="2" customFormat="1" x14ac:dyDescent="0.25">
      <c r="A38" s="718"/>
      <c r="B38" s="719"/>
      <c r="C38" s="720"/>
      <c r="D38" s="720"/>
      <c r="E38" s="720"/>
      <c r="F38" s="745"/>
      <c r="G38" s="721"/>
      <c r="H38" s="722"/>
      <c r="I38" s="723"/>
      <c r="J38" s="724"/>
      <c r="K38" s="725"/>
      <c r="L38" s="720"/>
      <c r="M38" s="720"/>
      <c r="N38" s="748">
        <v>44287</v>
      </c>
      <c r="O38" s="751"/>
      <c r="P38" s="726">
        <v>16309.28</v>
      </c>
      <c r="Q38" s="727">
        <v>44287</v>
      </c>
      <c r="R38" s="728"/>
      <c r="S38" s="726"/>
      <c r="T38" s="726"/>
      <c r="U38" s="722"/>
      <c r="V38" s="729"/>
      <c r="W38" s="730"/>
      <c r="X38" s="2">
        <v>4</v>
      </c>
    </row>
    <row r="39" spans="1:24" s="2" customFormat="1" x14ac:dyDescent="0.25">
      <c r="A39" s="718"/>
      <c r="B39" s="719"/>
      <c r="C39" s="720"/>
      <c r="D39" s="720"/>
      <c r="E39" s="720"/>
      <c r="F39" s="745"/>
      <c r="G39" s="721"/>
      <c r="H39" s="722"/>
      <c r="I39" s="723"/>
      <c r="J39" s="724"/>
      <c r="K39" s="725"/>
      <c r="L39" s="720"/>
      <c r="M39" s="720"/>
      <c r="N39" s="748">
        <v>44287</v>
      </c>
      <c r="O39" s="751"/>
      <c r="P39" s="726">
        <v>15640.16</v>
      </c>
      <c r="Q39" s="727">
        <v>44300</v>
      </c>
      <c r="R39" s="728"/>
      <c r="S39" s="726"/>
      <c r="T39" s="726"/>
      <c r="U39" s="722"/>
      <c r="V39" s="729"/>
      <c r="W39" s="730"/>
      <c r="X39" s="2">
        <v>4</v>
      </c>
    </row>
    <row r="40" spans="1:24" s="2" customFormat="1" x14ac:dyDescent="0.25">
      <c r="A40" s="718"/>
      <c r="B40" s="719"/>
      <c r="C40" s="720"/>
      <c r="D40" s="720"/>
      <c r="E40" s="720"/>
      <c r="F40" s="745"/>
      <c r="G40" s="721"/>
      <c r="H40" s="722"/>
      <c r="I40" s="723"/>
      <c r="J40" s="724"/>
      <c r="K40" s="725"/>
      <c r="L40" s="720"/>
      <c r="M40" s="720"/>
      <c r="N40" s="748">
        <v>44286</v>
      </c>
      <c r="O40" s="751"/>
      <c r="P40" s="726">
        <v>8508.7199999999993</v>
      </c>
      <c r="Q40" s="727">
        <v>44300</v>
      </c>
      <c r="R40" s="728"/>
      <c r="S40" s="726"/>
      <c r="T40" s="726"/>
      <c r="U40" s="722"/>
      <c r="V40" s="729"/>
      <c r="W40" s="730"/>
      <c r="X40" s="2">
        <v>4</v>
      </c>
    </row>
    <row r="41" spans="1:24" s="2" customFormat="1" x14ac:dyDescent="0.25">
      <c r="A41" s="718"/>
      <c r="B41" s="719"/>
      <c r="C41" s="720"/>
      <c r="D41" s="720"/>
      <c r="E41" s="720"/>
      <c r="F41" s="745"/>
      <c r="G41" s="721"/>
      <c r="H41" s="722"/>
      <c r="I41" s="723"/>
      <c r="J41" s="724"/>
      <c r="K41" s="725"/>
      <c r="L41" s="720"/>
      <c r="M41" s="720"/>
      <c r="N41" s="748">
        <v>44317</v>
      </c>
      <c r="O41" s="751"/>
      <c r="P41" s="726">
        <v>11730.13</v>
      </c>
      <c r="Q41" s="727">
        <v>44330</v>
      </c>
      <c r="R41" s="728"/>
      <c r="S41" s="726"/>
      <c r="T41" s="726"/>
      <c r="U41" s="722"/>
      <c r="V41" s="729"/>
      <c r="W41" s="730"/>
      <c r="X41" s="2">
        <v>4</v>
      </c>
    </row>
    <row r="42" spans="1:24" s="2" customFormat="1" x14ac:dyDescent="0.25">
      <c r="A42" s="718"/>
      <c r="B42" s="719"/>
      <c r="C42" s="720"/>
      <c r="D42" s="720"/>
      <c r="E42" s="720"/>
      <c r="F42" s="745"/>
      <c r="G42" s="721"/>
      <c r="H42" s="722"/>
      <c r="I42" s="723"/>
      <c r="J42" s="724"/>
      <c r="K42" s="725"/>
      <c r="L42" s="720"/>
      <c r="M42" s="720"/>
      <c r="N42" s="748">
        <v>44317</v>
      </c>
      <c r="O42" s="751"/>
      <c r="P42" s="726">
        <v>4170.92</v>
      </c>
      <c r="Q42" s="727">
        <v>44333</v>
      </c>
      <c r="R42" s="728"/>
      <c r="S42" s="726"/>
      <c r="T42" s="726"/>
      <c r="U42" s="722"/>
      <c r="V42" s="729"/>
      <c r="W42" s="730"/>
      <c r="X42" s="2">
        <v>4</v>
      </c>
    </row>
    <row r="43" spans="1:24" s="2" customFormat="1" x14ac:dyDescent="0.25">
      <c r="A43" s="718"/>
      <c r="B43" s="719"/>
      <c r="C43" s="720"/>
      <c r="D43" s="720"/>
      <c r="E43" s="720"/>
      <c r="F43" s="745"/>
      <c r="G43" s="721"/>
      <c r="H43" s="722"/>
      <c r="I43" s="723"/>
      <c r="J43" s="724"/>
      <c r="K43" s="725"/>
      <c r="L43" s="720"/>
      <c r="M43" s="720"/>
      <c r="N43" s="748">
        <v>44348</v>
      </c>
      <c r="O43" s="751"/>
      <c r="P43" s="726">
        <v>3128.2</v>
      </c>
      <c r="Q43" s="727">
        <v>44348</v>
      </c>
      <c r="R43" s="728"/>
      <c r="S43" s="726"/>
      <c r="T43" s="726"/>
      <c r="U43" s="722"/>
      <c r="V43" s="729"/>
      <c r="W43" s="730"/>
      <c r="X43" s="2">
        <v>4</v>
      </c>
    </row>
    <row r="44" spans="1:24" s="2" customFormat="1" x14ac:dyDescent="0.25">
      <c r="A44" s="718"/>
      <c r="B44" s="719"/>
      <c r="C44" s="720"/>
      <c r="D44" s="720"/>
      <c r="E44" s="720"/>
      <c r="F44" s="745"/>
      <c r="G44" s="721"/>
      <c r="H44" s="722"/>
      <c r="I44" s="723"/>
      <c r="J44" s="724"/>
      <c r="K44" s="725"/>
      <c r="L44" s="720"/>
      <c r="M44" s="720"/>
      <c r="N44" s="748">
        <v>44347</v>
      </c>
      <c r="O44" s="751"/>
      <c r="P44" s="726">
        <v>13863.55</v>
      </c>
      <c r="Q44" s="727">
        <v>44363</v>
      </c>
      <c r="R44" s="728"/>
      <c r="S44" s="726"/>
      <c r="T44" s="726"/>
      <c r="U44" s="722"/>
      <c r="V44" s="729"/>
      <c r="W44" s="730"/>
      <c r="X44" s="2">
        <v>4</v>
      </c>
    </row>
    <row r="45" spans="1:24" s="2" customFormat="1" x14ac:dyDescent="0.25">
      <c r="A45" s="718"/>
      <c r="B45" s="719"/>
      <c r="C45" s="720"/>
      <c r="D45" s="720"/>
      <c r="E45" s="720"/>
      <c r="F45" s="745"/>
      <c r="G45" s="721"/>
      <c r="H45" s="722"/>
      <c r="I45" s="723"/>
      <c r="J45" s="724"/>
      <c r="K45" s="725"/>
      <c r="L45" s="720"/>
      <c r="M45" s="720"/>
      <c r="N45" s="748">
        <v>44348</v>
      </c>
      <c r="O45" s="751"/>
      <c r="P45" s="726">
        <v>23554.54</v>
      </c>
      <c r="Q45" s="727">
        <v>44363</v>
      </c>
      <c r="R45" s="728"/>
      <c r="S45" s="726"/>
      <c r="T45" s="726"/>
      <c r="U45" s="722"/>
      <c r="V45" s="729"/>
      <c r="W45" s="730"/>
      <c r="X45" s="2">
        <v>4</v>
      </c>
    </row>
    <row r="46" spans="1:24" s="2" customFormat="1" x14ac:dyDescent="0.25">
      <c r="A46" s="718"/>
      <c r="B46" s="719"/>
      <c r="C46" s="720"/>
      <c r="D46" s="720"/>
      <c r="E46" s="720"/>
      <c r="F46" s="745"/>
      <c r="G46" s="721"/>
      <c r="H46" s="722"/>
      <c r="I46" s="723"/>
      <c r="J46" s="724"/>
      <c r="K46" s="725"/>
      <c r="L46" s="720"/>
      <c r="M46" s="720"/>
      <c r="N46" s="748">
        <v>44378</v>
      </c>
      <c r="O46" s="751"/>
      <c r="P46" s="726">
        <v>17665.900000000001</v>
      </c>
      <c r="Q46" s="727">
        <v>44379</v>
      </c>
      <c r="R46" s="728"/>
      <c r="S46" s="726"/>
      <c r="T46" s="726"/>
      <c r="U46" s="722"/>
      <c r="V46" s="729"/>
      <c r="W46" s="730"/>
      <c r="X46" s="2">
        <v>4</v>
      </c>
    </row>
    <row r="47" spans="1:24" s="2" customFormat="1" x14ac:dyDescent="0.25">
      <c r="A47" s="718"/>
      <c r="B47" s="719"/>
      <c r="C47" s="720"/>
      <c r="D47" s="720"/>
      <c r="E47" s="720"/>
      <c r="F47" s="745"/>
      <c r="G47" s="721"/>
      <c r="H47" s="722"/>
      <c r="I47" s="723"/>
      <c r="J47" s="724"/>
      <c r="K47" s="725"/>
      <c r="L47" s="720"/>
      <c r="M47" s="720"/>
      <c r="N47" s="748">
        <v>44378</v>
      </c>
      <c r="O47" s="751"/>
      <c r="P47" s="726">
        <v>5086.1899999999996</v>
      </c>
      <c r="Q47" s="727">
        <v>44396</v>
      </c>
      <c r="R47" s="728"/>
      <c r="S47" s="726"/>
      <c r="T47" s="726"/>
      <c r="U47" s="722"/>
      <c r="V47" s="729"/>
      <c r="W47" s="730"/>
      <c r="X47" s="2">
        <v>4</v>
      </c>
    </row>
    <row r="48" spans="1:24" s="2" customFormat="1" x14ac:dyDescent="0.25">
      <c r="A48" s="718"/>
      <c r="B48" s="719"/>
      <c r="C48" s="720"/>
      <c r="D48" s="720"/>
      <c r="E48" s="720"/>
      <c r="F48" s="745"/>
      <c r="G48" s="721"/>
      <c r="H48" s="722"/>
      <c r="I48" s="723"/>
      <c r="J48" s="724"/>
      <c r="K48" s="725"/>
      <c r="L48" s="720"/>
      <c r="M48" s="720"/>
      <c r="N48" s="748">
        <v>44409</v>
      </c>
      <c r="O48" s="751"/>
      <c r="P48" s="726">
        <v>3814.64</v>
      </c>
      <c r="Q48" s="727">
        <v>44413</v>
      </c>
      <c r="R48" s="728"/>
      <c r="S48" s="726"/>
      <c r="T48" s="726"/>
      <c r="U48" s="722"/>
      <c r="V48" s="729"/>
      <c r="W48" s="730"/>
      <c r="X48" s="2">
        <v>4</v>
      </c>
    </row>
    <row r="49" spans="1:24" s="2" customFormat="1" x14ac:dyDescent="0.25">
      <c r="A49" s="718"/>
      <c r="B49" s="719"/>
      <c r="C49" s="720"/>
      <c r="D49" s="720"/>
      <c r="E49" s="720"/>
      <c r="F49" s="745"/>
      <c r="G49" s="721"/>
      <c r="H49" s="722"/>
      <c r="I49" s="723"/>
      <c r="J49" s="724"/>
      <c r="K49" s="725"/>
      <c r="L49" s="720"/>
      <c r="M49" s="720"/>
      <c r="N49" s="748">
        <v>44409</v>
      </c>
      <c r="O49" s="751"/>
      <c r="P49" s="726">
        <v>10312.129999999999</v>
      </c>
      <c r="Q49" s="727">
        <v>44426</v>
      </c>
      <c r="R49" s="728"/>
      <c r="S49" s="726"/>
      <c r="T49" s="726"/>
      <c r="U49" s="722"/>
      <c r="V49" s="729"/>
      <c r="W49" s="730"/>
      <c r="X49" s="2">
        <v>4</v>
      </c>
    </row>
    <row r="50" spans="1:24" s="2" customFormat="1" x14ac:dyDescent="0.25">
      <c r="A50" s="718"/>
      <c r="B50" s="719"/>
      <c r="C50" s="720"/>
      <c r="D50" s="720"/>
      <c r="E50" s="720"/>
      <c r="F50" s="745"/>
      <c r="G50" s="721"/>
      <c r="H50" s="722"/>
      <c r="I50" s="723"/>
      <c r="J50" s="724"/>
      <c r="K50" s="725"/>
      <c r="L50" s="720"/>
      <c r="M50" s="720"/>
      <c r="N50" s="748">
        <v>44440</v>
      </c>
      <c r="O50" s="751"/>
      <c r="P50" s="726">
        <v>7734.1</v>
      </c>
      <c r="Q50" s="727">
        <v>44440</v>
      </c>
      <c r="R50" s="728"/>
      <c r="S50" s="726"/>
      <c r="T50" s="726"/>
      <c r="U50" s="722"/>
      <c r="V50" s="729"/>
      <c r="W50" s="730"/>
      <c r="X50" s="2">
        <v>4</v>
      </c>
    </row>
    <row r="51" spans="1:24" s="2" customFormat="1" x14ac:dyDescent="0.25">
      <c r="A51" s="718"/>
      <c r="B51" s="719"/>
      <c r="C51" s="720"/>
      <c r="D51" s="720"/>
      <c r="E51" s="720"/>
      <c r="F51" s="745"/>
      <c r="G51" s="721"/>
      <c r="H51" s="722"/>
      <c r="I51" s="723"/>
      <c r="J51" s="724"/>
      <c r="K51" s="725"/>
      <c r="L51" s="720"/>
      <c r="M51" s="720"/>
      <c r="N51" s="748">
        <v>44470</v>
      </c>
      <c r="O51" s="751"/>
      <c r="P51" s="726">
        <v>4008.65</v>
      </c>
      <c r="Q51" s="727">
        <v>44474</v>
      </c>
      <c r="R51" s="728"/>
      <c r="S51" s="726"/>
      <c r="T51" s="726"/>
      <c r="U51" s="722"/>
      <c r="V51" s="729"/>
      <c r="W51" s="730"/>
      <c r="X51" s="2">
        <v>4</v>
      </c>
    </row>
    <row r="52" spans="1:24" s="2" customFormat="1" x14ac:dyDescent="0.25">
      <c r="A52" s="718"/>
      <c r="B52" s="719"/>
      <c r="C52" s="720"/>
      <c r="D52" s="720"/>
      <c r="E52" s="720"/>
      <c r="F52" s="745"/>
      <c r="G52" s="721"/>
      <c r="H52" s="722"/>
      <c r="I52" s="723"/>
      <c r="J52" s="724"/>
      <c r="K52" s="725"/>
      <c r="L52" s="720"/>
      <c r="M52" s="720"/>
      <c r="N52" s="748">
        <v>44469</v>
      </c>
      <c r="O52" s="751"/>
      <c r="P52" s="726">
        <v>10182.36</v>
      </c>
      <c r="Q52" s="727">
        <v>44487</v>
      </c>
      <c r="R52" s="728"/>
      <c r="S52" s="726"/>
      <c r="T52" s="726"/>
      <c r="U52" s="722"/>
      <c r="V52" s="729"/>
      <c r="W52" s="730"/>
      <c r="X52" s="2">
        <v>4</v>
      </c>
    </row>
    <row r="53" spans="1:24" s="2" customFormat="1" x14ac:dyDescent="0.25">
      <c r="A53" s="718"/>
      <c r="B53" s="719"/>
      <c r="C53" s="720"/>
      <c r="D53" s="720"/>
      <c r="E53" s="720"/>
      <c r="F53" s="745"/>
      <c r="G53" s="721"/>
      <c r="H53" s="722"/>
      <c r="I53" s="723"/>
      <c r="J53" s="724"/>
      <c r="K53" s="725"/>
      <c r="L53" s="720"/>
      <c r="M53" s="720"/>
      <c r="N53" s="748">
        <v>44470</v>
      </c>
      <c r="O53" s="751"/>
      <c r="P53" s="726">
        <v>19360.57</v>
      </c>
      <c r="Q53" s="727">
        <v>44487</v>
      </c>
      <c r="R53" s="728"/>
      <c r="S53" s="726"/>
      <c r="T53" s="726"/>
      <c r="U53" s="722"/>
      <c r="V53" s="729"/>
      <c r="W53" s="730"/>
      <c r="X53" s="2">
        <v>4</v>
      </c>
    </row>
    <row r="54" spans="1:24" s="2" customFormat="1" x14ac:dyDescent="0.25">
      <c r="A54" s="718"/>
      <c r="B54" s="719"/>
      <c r="C54" s="720"/>
      <c r="D54" s="720"/>
      <c r="E54" s="720"/>
      <c r="F54" s="745"/>
      <c r="G54" s="721"/>
      <c r="H54" s="722"/>
      <c r="I54" s="723"/>
      <c r="J54" s="724"/>
      <c r="K54" s="725"/>
      <c r="L54" s="720"/>
      <c r="M54" s="720"/>
      <c r="N54" s="748">
        <v>44501</v>
      </c>
      <c r="O54" s="751"/>
      <c r="P54" s="726">
        <v>14520.43</v>
      </c>
      <c r="Q54" s="727">
        <v>44509</v>
      </c>
      <c r="R54" s="728"/>
      <c r="S54" s="726"/>
      <c r="T54" s="726"/>
      <c r="U54" s="722"/>
      <c r="V54" s="729"/>
      <c r="W54" s="730"/>
      <c r="X54" s="2">
        <v>4</v>
      </c>
    </row>
    <row r="55" spans="1:24" s="2" customFormat="1" x14ac:dyDescent="0.25">
      <c r="A55" s="718"/>
      <c r="B55" s="719"/>
      <c r="C55" s="720"/>
      <c r="D55" s="720"/>
      <c r="E55" s="720"/>
      <c r="F55" s="745"/>
      <c r="G55" s="721"/>
      <c r="H55" s="722"/>
      <c r="I55" s="723"/>
      <c r="J55" s="724"/>
      <c r="K55" s="725"/>
      <c r="L55" s="720"/>
      <c r="M55" s="720"/>
      <c r="N55" s="748">
        <v>44500</v>
      </c>
      <c r="O55" s="751"/>
      <c r="P55" s="726">
        <v>21588.29</v>
      </c>
      <c r="Q55" s="727">
        <v>44516</v>
      </c>
      <c r="R55" s="728"/>
      <c r="S55" s="726"/>
      <c r="T55" s="726"/>
      <c r="U55" s="722"/>
      <c r="V55" s="729"/>
      <c r="W55" s="730"/>
      <c r="X55" s="2">
        <v>4</v>
      </c>
    </row>
    <row r="56" spans="1:24" s="2" customFormat="1" x14ac:dyDescent="0.25">
      <c r="A56" s="731"/>
      <c r="B56" s="732"/>
      <c r="C56" s="733"/>
      <c r="D56" s="733"/>
      <c r="E56" s="733"/>
      <c r="F56" s="746"/>
      <c r="G56" s="734"/>
      <c r="H56" s="735"/>
      <c r="I56" s="736"/>
      <c r="J56" s="737"/>
      <c r="K56" s="738"/>
      <c r="L56" s="733"/>
      <c r="M56" s="733"/>
      <c r="N56" s="749">
        <v>44501</v>
      </c>
      <c r="O56" s="752"/>
      <c r="P56" s="739">
        <v>20004.29</v>
      </c>
      <c r="Q56" s="740">
        <v>44516</v>
      </c>
      <c r="R56" s="741"/>
      <c r="S56" s="739"/>
      <c r="T56" s="739"/>
      <c r="U56" s="735"/>
      <c r="V56" s="742"/>
      <c r="W56" s="743"/>
      <c r="X56" s="2">
        <v>4</v>
      </c>
    </row>
    <row r="57" spans="1:24" s="117" customFormat="1" ht="37.5" customHeight="1" x14ac:dyDescent="0.25">
      <c r="A57" s="705">
        <v>5</v>
      </c>
      <c r="B57" s="706" t="s">
        <v>56</v>
      </c>
      <c r="C57" s="707" t="s">
        <v>146</v>
      </c>
      <c r="D57" s="707" t="s">
        <v>147</v>
      </c>
      <c r="E57" s="707" t="s">
        <v>57</v>
      </c>
      <c r="F57" s="744">
        <v>44217</v>
      </c>
      <c r="G57" s="708" t="s">
        <v>166</v>
      </c>
      <c r="H57" s="709">
        <v>47100</v>
      </c>
      <c r="I57" s="710">
        <f>IF(X57 = 5, H57 + SUM(S57:S66) - SUM(T57:T66) - SUM(P57:P66) - V57,0)</f>
        <v>21131.5</v>
      </c>
      <c r="J57" s="711">
        <v>2353246210</v>
      </c>
      <c r="K57" s="712" t="s">
        <v>159</v>
      </c>
      <c r="L57" s="707" t="s">
        <v>146</v>
      </c>
      <c r="M57" s="707" t="s">
        <v>152</v>
      </c>
      <c r="N57" s="747">
        <v>44227</v>
      </c>
      <c r="O57" s="750" t="s">
        <v>167</v>
      </c>
      <c r="P57" s="713">
        <v>1590.72</v>
      </c>
      <c r="Q57" s="714">
        <v>44264</v>
      </c>
      <c r="R57" s="715"/>
      <c r="S57" s="713"/>
      <c r="T57" s="713"/>
      <c r="U57" s="709"/>
      <c r="V57" s="716"/>
      <c r="W57" s="717"/>
      <c r="X57" s="117">
        <v>5</v>
      </c>
    </row>
    <row r="58" spans="1:24" s="2" customFormat="1" x14ac:dyDescent="0.25">
      <c r="A58" s="718"/>
      <c r="B58" s="719"/>
      <c r="C58" s="720"/>
      <c r="D58" s="720"/>
      <c r="E58" s="720"/>
      <c r="F58" s="745"/>
      <c r="G58" s="721"/>
      <c r="H58" s="722"/>
      <c r="I58" s="723"/>
      <c r="J58" s="724"/>
      <c r="K58" s="725"/>
      <c r="L58" s="720"/>
      <c r="M58" s="720"/>
      <c r="N58" s="748">
        <v>44255</v>
      </c>
      <c r="O58" s="751"/>
      <c r="P58" s="726">
        <v>4971</v>
      </c>
      <c r="Q58" s="727">
        <v>44264</v>
      </c>
      <c r="R58" s="728"/>
      <c r="S58" s="726"/>
      <c r="T58" s="726"/>
      <c r="U58" s="722"/>
      <c r="V58" s="729"/>
      <c r="W58" s="730"/>
      <c r="X58" s="2">
        <v>5</v>
      </c>
    </row>
    <row r="59" spans="1:24" s="2" customFormat="1" x14ac:dyDescent="0.25">
      <c r="A59" s="718"/>
      <c r="B59" s="719"/>
      <c r="C59" s="720"/>
      <c r="D59" s="720"/>
      <c r="E59" s="720"/>
      <c r="F59" s="745"/>
      <c r="G59" s="721"/>
      <c r="H59" s="722"/>
      <c r="I59" s="723"/>
      <c r="J59" s="724"/>
      <c r="K59" s="725"/>
      <c r="L59" s="720"/>
      <c r="M59" s="720"/>
      <c r="N59" s="748">
        <v>44286</v>
      </c>
      <c r="O59" s="751"/>
      <c r="P59" s="726">
        <v>3260.97</v>
      </c>
      <c r="Q59" s="727">
        <v>44300</v>
      </c>
      <c r="R59" s="728"/>
      <c r="S59" s="726"/>
      <c r="T59" s="726"/>
      <c r="U59" s="722"/>
      <c r="V59" s="729"/>
      <c r="W59" s="730"/>
      <c r="X59" s="2">
        <v>5</v>
      </c>
    </row>
    <row r="60" spans="1:24" s="2" customFormat="1" x14ac:dyDescent="0.25">
      <c r="A60" s="718"/>
      <c r="B60" s="719"/>
      <c r="C60" s="720"/>
      <c r="D60" s="720"/>
      <c r="E60" s="720"/>
      <c r="F60" s="745"/>
      <c r="G60" s="721"/>
      <c r="H60" s="722"/>
      <c r="I60" s="723"/>
      <c r="J60" s="724"/>
      <c r="K60" s="725"/>
      <c r="L60" s="720"/>
      <c r="M60" s="720"/>
      <c r="N60" s="748">
        <v>44316</v>
      </c>
      <c r="O60" s="751"/>
      <c r="P60" s="726">
        <v>2624.68</v>
      </c>
      <c r="Q60" s="727">
        <v>44330</v>
      </c>
      <c r="R60" s="728"/>
      <c r="S60" s="726"/>
      <c r="T60" s="726"/>
      <c r="U60" s="722"/>
      <c r="V60" s="729"/>
      <c r="W60" s="730"/>
      <c r="X60" s="2">
        <v>5</v>
      </c>
    </row>
    <row r="61" spans="1:24" s="2" customFormat="1" x14ac:dyDescent="0.25">
      <c r="A61" s="718"/>
      <c r="B61" s="719"/>
      <c r="C61" s="720"/>
      <c r="D61" s="720"/>
      <c r="E61" s="720"/>
      <c r="F61" s="745"/>
      <c r="G61" s="721"/>
      <c r="H61" s="722"/>
      <c r="I61" s="723"/>
      <c r="J61" s="724"/>
      <c r="K61" s="725"/>
      <c r="L61" s="720"/>
      <c r="M61" s="720"/>
      <c r="N61" s="748">
        <v>44347</v>
      </c>
      <c r="O61" s="751"/>
      <c r="P61" s="726">
        <v>1710.02</v>
      </c>
      <c r="Q61" s="727">
        <v>44344</v>
      </c>
      <c r="R61" s="728"/>
      <c r="S61" s="726"/>
      <c r="T61" s="726"/>
      <c r="U61" s="722"/>
      <c r="V61" s="729"/>
      <c r="W61" s="730"/>
      <c r="X61" s="2">
        <v>5</v>
      </c>
    </row>
    <row r="62" spans="1:24" s="2" customFormat="1" x14ac:dyDescent="0.25">
      <c r="A62" s="718"/>
      <c r="B62" s="719"/>
      <c r="C62" s="720"/>
      <c r="D62" s="720"/>
      <c r="E62" s="720"/>
      <c r="F62" s="745"/>
      <c r="G62" s="721"/>
      <c r="H62" s="722"/>
      <c r="I62" s="723"/>
      <c r="J62" s="724"/>
      <c r="K62" s="725"/>
      <c r="L62" s="720"/>
      <c r="M62" s="720"/>
      <c r="N62" s="748">
        <v>44377</v>
      </c>
      <c r="O62" s="751"/>
      <c r="P62" s="726">
        <v>1033.97</v>
      </c>
      <c r="Q62" s="727">
        <v>44384</v>
      </c>
      <c r="R62" s="728"/>
      <c r="S62" s="726"/>
      <c r="T62" s="726"/>
      <c r="U62" s="722"/>
      <c r="V62" s="729"/>
      <c r="W62" s="730"/>
      <c r="X62" s="2">
        <v>5</v>
      </c>
    </row>
    <row r="63" spans="1:24" s="2" customFormat="1" x14ac:dyDescent="0.25">
      <c r="A63" s="718"/>
      <c r="B63" s="719"/>
      <c r="C63" s="720"/>
      <c r="D63" s="720"/>
      <c r="E63" s="720"/>
      <c r="F63" s="745"/>
      <c r="G63" s="721"/>
      <c r="H63" s="722"/>
      <c r="I63" s="723"/>
      <c r="J63" s="724"/>
      <c r="K63" s="725"/>
      <c r="L63" s="720"/>
      <c r="M63" s="720"/>
      <c r="N63" s="748">
        <v>44408</v>
      </c>
      <c r="O63" s="751"/>
      <c r="P63" s="726">
        <v>2505.39</v>
      </c>
      <c r="Q63" s="727">
        <v>44413</v>
      </c>
      <c r="R63" s="728"/>
      <c r="S63" s="726"/>
      <c r="T63" s="726"/>
      <c r="U63" s="722"/>
      <c r="V63" s="729"/>
      <c r="W63" s="730"/>
      <c r="X63" s="2">
        <v>5</v>
      </c>
    </row>
    <row r="64" spans="1:24" s="2" customFormat="1" x14ac:dyDescent="0.25">
      <c r="A64" s="718"/>
      <c r="B64" s="719"/>
      <c r="C64" s="720"/>
      <c r="D64" s="720"/>
      <c r="E64" s="720"/>
      <c r="F64" s="745"/>
      <c r="G64" s="721"/>
      <c r="H64" s="722"/>
      <c r="I64" s="723"/>
      <c r="J64" s="724"/>
      <c r="K64" s="725"/>
      <c r="L64" s="720"/>
      <c r="M64" s="720"/>
      <c r="N64" s="748">
        <v>44439</v>
      </c>
      <c r="O64" s="751"/>
      <c r="P64" s="726">
        <v>2942.84</v>
      </c>
      <c r="Q64" s="727">
        <v>44438</v>
      </c>
      <c r="R64" s="728"/>
      <c r="S64" s="726"/>
      <c r="T64" s="726"/>
      <c r="U64" s="722"/>
      <c r="V64" s="729"/>
      <c r="W64" s="730"/>
      <c r="X64" s="2">
        <v>5</v>
      </c>
    </row>
    <row r="65" spans="1:24" s="2" customFormat="1" x14ac:dyDescent="0.25">
      <c r="A65" s="718"/>
      <c r="B65" s="719"/>
      <c r="C65" s="720"/>
      <c r="D65" s="720"/>
      <c r="E65" s="720"/>
      <c r="F65" s="745"/>
      <c r="G65" s="721"/>
      <c r="H65" s="722"/>
      <c r="I65" s="723"/>
      <c r="J65" s="724"/>
      <c r="K65" s="725"/>
      <c r="L65" s="720"/>
      <c r="M65" s="720"/>
      <c r="N65" s="748">
        <v>44456</v>
      </c>
      <c r="O65" s="751"/>
      <c r="P65" s="726">
        <v>2704.22</v>
      </c>
      <c r="Q65" s="727">
        <v>44467</v>
      </c>
      <c r="R65" s="728"/>
      <c r="S65" s="726"/>
      <c r="T65" s="726"/>
      <c r="U65" s="722"/>
      <c r="V65" s="729"/>
      <c r="W65" s="730"/>
      <c r="X65" s="2">
        <v>5</v>
      </c>
    </row>
    <row r="66" spans="1:24" s="2" customFormat="1" x14ac:dyDescent="0.25">
      <c r="A66" s="731"/>
      <c r="B66" s="732"/>
      <c r="C66" s="733"/>
      <c r="D66" s="733"/>
      <c r="E66" s="733"/>
      <c r="F66" s="746"/>
      <c r="G66" s="734"/>
      <c r="H66" s="735"/>
      <c r="I66" s="736"/>
      <c r="J66" s="737"/>
      <c r="K66" s="738"/>
      <c r="L66" s="733"/>
      <c r="M66" s="733"/>
      <c r="N66" s="749">
        <v>44489</v>
      </c>
      <c r="O66" s="752"/>
      <c r="P66" s="739">
        <v>2624.69</v>
      </c>
      <c r="Q66" s="740">
        <v>44510</v>
      </c>
      <c r="R66" s="741"/>
      <c r="S66" s="739"/>
      <c r="T66" s="739"/>
      <c r="U66" s="735"/>
      <c r="V66" s="742"/>
      <c r="W66" s="743"/>
      <c r="X66" s="2">
        <v>5</v>
      </c>
    </row>
    <row r="67" spans="1:24" s="117" customFormat="1" ht="150" customHeight="1" x14ac:dyDescent="0.25">
      <c r="A67" s="671">
        <v>6</v>
      </c>
      <c r="B67" s="645" t="s">
        <v>56</v>
      </c>
      <c r="C67" s="594" t="s">
        <v>146</v>
      </c>
      <c r="D67" s="594" t="s">
        <v>147</v>
      </c>
      <c r="E67" s="594" t="s">
        <v>149</v>
      </c>
      <c r="F67" s="654">
        <v>44217</v>
      </c>
      <c r="G67" s="657" t="s">
        <v>172</v>
      </c>
      <c r="H67" s="600">
        <v>270706.8</v>
      </c>
      <c r="I67" s="660">
        <f>IF(X67 = 6, H67 + SUM(S67:S74) - SUM(T67:T74) - SUM(P67:P74) - V67,0)</f>
        <v>0</v>
      </c>
      <c r="J67" s="663">
        <v>2353020735</v>
      </c>
      <c r="K67" s="666" t="s">
        <v>173</v>
      </c>
      <c r="L67" s="594" t="s">
        <v>146</v>
      </c>
      <c r="M67" s="594" t="s">
        <v>190</v>
      </c>
      <c r="N67" s="132">
        <v>44218</v>
      </c>
      <c r="O67" s="597" t="s">
        <v>63</v>
      </c>
      <c r="P67" s="126">
        <v>6313.54</v>
      </c>
      <c r="Q67" s="127">
        <v>44251</v>
      </c>
      <c r="R67" s="128"/>
      <c r="S67" s="126"/>
      <c r="T67" s="126"/>
      <c r="U67" s="600" t="s">
        <v>296</v>
      </c>
      <c r="V67" s="648">
        <v>43035.72</v>
      </c>
      <c r="W67" s="651"/>
      <c r="X67" s="117">
        <v>6</v>
      </c>
    </row>
    <row r="68" spans="1:24" s="2" customFormat="1" x14ac:dyDescent="0.25">
      <c r="A68" s="672"/>
      <c r="B68" s="646"/>
      <c r="C68" s="595"/>
      <c r="D68" s="595"/>
      <c r="E68" s="595"/>
      <c r="F68" s="655"/>
      <c r="G68" s="658"/>
      <c r="H68" s="601"/>
      <c r="I68" s="661"/>
      <c r="J68" s="664"/>
      <c r="K68" s="667"/>
      <c r="L68" s="595"/>
      <c r="M68" s="595"/>
      <c r="N68" s="137">
        <v>44218</v>
      </c>
      <c r="O68" s="598"/>
      <c r="P68" s="134">
        <v>98910.02</v>
      </c>
      <c r="Q68" s="135">
        <v>44251</v>
      </c>
      <c r="R68" s="136"/>
      <c r="S68" s="134"/>
      <c r="T68" s="134"/>
      <c r="U68" s="601"/>
      <c r="V68" s="649"/>
      <c r="W68" s="652"/>
      <c r="X68" s="2">
        <v>6</v>
      </c>
    </row>
    <row r="69" spans="1:24" s="2" customFormat="1" x14ac:dyDescent="0.25">
      <c r="A69" s="672"/>
      <c r="B69" s="646"/>
      <c r="C69" s="595"/>
      <c r="D69" s="595"/>
      <c r="E69" s="595"/>
      <c r="F69" s="655"/>
      <c r="G69" s="658"/>
      <c r="H69" s="601"/>
      <c r="I69" s="661"/>
      <c r="J69" s="664"/>
      <c r="K69" s="667"/>
      <c r="L69" s="595"/>
      <c r="M69" s="595"/>
      <c r="N69" s="137">
        <v>44217</v>
      </c>
      <c r="O69" s="598"/>
      <c r="P69" s="134">
        <v>32228.5</v>
      </c>
      <c r="Q69" s="135">
        <v>44274</v>
      </c>
      <c r="R69" s="136"/>
      <c r="S69" s="134"/>
      <c r="T69" s="134"/>
      <c r="U69" s="601"/>
      <c r="V69" s="649"/>
      <c r="W69" s="652"/>
      <c r="X69" s="2">
        <v>6</v>
      </c>
    </row>
    <row r="70" spans="1:24" s="2" customFormat="1" x14ac:dyDescent="0.25">
      <c r="A70" s="672"/>
      <c r="B70" s="646"/>
      <c r="C70" s="595"/>
      <c r="D70" s="595"/>
      <c r="E70" s="595"/>
      <c r="F70" s="655"/>
      <c r="G70" s="658"/>
      <c r="H70" s="601"/>
      <c r="I70" s="661"/>
      <c r="J70" s="664"/>
      <c r="K70" s="667"/>
      <c r="L70" s="595"/>
      <c r="M70" s="595"/>
      <c r="N70" s="137">
        <v>44217</v>
      </c>
      <c r="O70" s="598"/>
      <c r="P70" s="134">
        <v>2057.1799999999998</v>
      </c>
      <c r="Q70" s="135">
        <v>44274</v>
      </c>
      <c r="R70" s="136"/>
      <c r="S70" s="134"/>
      <c r="T70" s="134"/>
      <c r="U70" s="601"/>
      <c r="V70" s="649"/>
      <c r="W70" s="652"/>
      <c r="X70" s="2">
        <v>6</v>
      </c>
    </row>
    <row r="71" spans="1:24" s="2" customFormat="1" x14ac:dyDescent="0.25">
      <c r="A71" s="672"/>
      <c r="B71" s="646"/>
      <c r="C71" s="595"/>
      <c r="D71" s="595"/>
      <c r="E71" s="595"/>
      <c r="F71" s="655"/>
      <c r="G71" s="658"/>
      <c r="H71" s="601"/>
      <c r="I71" s="661"/>
      <c r="J71" s="664"/>
      <c r="K71" s="667"/>
      <c r="L71" s="595"/>
      <c r="M71" s="595"/>
      <c r="N71" s="137">
        <v>44217</v>
      </c>
      <c r="O71" s="598"/>
      <c r="P71" s="134">
        <v>56784.54</v>
      </c>
      <c r="Q71" s="135">
        <v>44274</v>
      </c>
      <c r="R71" s="136"/>
      <c r="S71" s="134"/>
      <c r="T71" s="134"/>
      <c r="U71" s="601"/>
      <c r="V71" s="649"/>
      <c r="W71" s="652"/>
      <c r="X71" s="2">
        <v>6</v>
      </c>
    </row>
    <row r="72" spans="1:24" s="2" customFormat="1" x14ac:dyDescent="0.25">
      <c r="A72" s="672"/>
      <c r="B72" s="646"/>
      <c r="C72" s="595"/>
      <c r="D72" s="595"/>
      <c r="E72" s="595"/>
      <c r="F72" s="655"/>
      <c r="G72" s="658"/>
      <c r="H72" s="601"/>
      <c r="I72" s="661"/>
      <c r="J72" s="664"/>
      <c r="K72" s="667"/>
      <c r="L72" s="595"/>
      <c r="M72" s="595"/>
      <c r="N72" s="137">
        <v>44217</v>
      </c>
      <c r="O72" s="598"/>
      <c r="P72" s="134">
        <v>3624.62</v>
      </c>
      <c r="Q72" s="135">
        <v>44274</v>
      </c>
      <c r="R72" s="136"/>
      <c r="S72" s="134"/>
      <c r="T72" s="134"/>
      <c r="U72" s="601"/>
      <c r="V72" s="649"/>
      <c r="W72" s="652"/>
      <c r="X72" s="2">
        <v>6</v>
      </c>
    </row>
    <row r="73" spans="1:24" s="2" customFormat="1" x14ac:dyDescent="0.25">
      <c r="A73" s="672"/>
      <c r="B73" s="646"/>
      <c r="C73" s="595"/>
      <c r="D73" s="595"/>
      <c r="E73" s="595"/>
      <c r="F73" s="655"/>
      <c r="G73" s="658"/>
      <c r="H73" s="601"/>
      <c r="I73" s="661"/>
      <c r="J73" s="664"/>
      <c r="K73" s="667"/>
      <c r="L73" s="595"/>
      <c r="M73" s="595"/>
      <c r="N73" s="137">
        <v>44217</v>
      </c>
      <c r="O73" s="598"/>
      <c r="P73" s="134">
        <v>26087.49</v>
      </c>
      <c r="Q73" s="135">
        <v>44274</v>
      </c>
      <c r="R73" s="136"/>
      <c r="S73" s="134"/>
      <c r="T73" s="134"/>
      <c r="U73" s="601"/>
      <c r="V73" s="649"/>
      <c r="W73" s="652"/>
      <c r="X73" s="2">
        <v>6</v>
      </c>
    </row>
    <row r="74" spans="1:24" s="2" customFormat="1" x14ac:dyDescent="0.25">
      <c r="A74" s="673"/>
      <c r="B74" s="647"/>
      <c r="C74" s="596"/>
      <c r="D74" s="596"/>
      <c r="E74" s="596"/>
      <c r="F74" s="656"/>
      <c r="G74" s="659"/>
      <c r="H74" s="602"/>
      <c r="I74" s="662"/>
      <c r="J74" s="665"/>
      <c r="K74" s="668"/>
      <c r="L74" s="596"/>
      <c r="M74" s="596"/>
      <c r="N74" s="133">
        <v>44217</v>
      </c>
      <c r="O74" s="599"/>
      <c r="P74" s="129">
        <v>1665.19</v>
      </c>
      <c r="Q74" s="130">
        <v>44274</v>
      </c>
      <c r="R74" s="131"/>
      <c r="S74" s="129"/>
      <c r="T74" s="129"/>
      <c r="U74" s="602"/>
      <c r="V74" s="650"/>
      <c r="W74" s="653"/>
      <c r="X74" s="2">
        <v>6</v>
      </c>
    </row>
    <row r="75" spans="1:24" s="117" customFormat="1" ht="131.25" customHeight="1" x14ac:dyDescent="0.25">
      <c r="A75" s="418">
        <v>7</v>
      </c>
      <c r="B75" s="442" t="s">
        <v>56</v>
      </c>
      <c r="C75" s="427" t="s">
        <v>146</v>
      </c>
      <c r="D75" s="427" t="s">
        <v>147</v>
      </c>
      <c r="E75" s="427" t="s">
        <v>174</v>
      </c>
      <c r="F75" s="421">
        <v>44217</v>
      </c>
      <c r="G75" s="464" t="s">
        <v>175</v>
      </c>
      <c r="H75" s="424">
        <v>7200</v>
      </c>
      <c r="I75" s="436">
        <f>IF(X75 = 7, H75 + SUM(S75:S77) - SUM(T75:T77) - SUM(P75:P77) - V75,0)</f>
        <v>1800</v>
      </c>
      <c r="J75" s="550">
        <v>2369000660</v>
      </c>
      <c r="K75" s="553" t="s">
        <v>176</v>
      </c>
      <c r="L75" s="427"/>
      <c r="M75" s="427" t="s">
        <v>177</v>
      </c>
      <c r="N75" s="365">
        <v>44286</v>
      </c>
      <c r="O75" s="439" t="s">
        <v>63</v>
      </c>
      <c r="P75" s="341">
        <v>1800</v>
      </c>
      <c r="Q75" s="342">
        <v>44287</v>
      </c>
      <c r="R75" s="343"/>
      <c r="S75" s="341"/>
      <c r="T75" s="341"/>
      <c r="U75" s="424"/>
      <c r="V75" s="547"/>
      <c r="W75" s="433"/>
      <c r="X75" s="117">
        <v>7</v>
      </c>
    </row>
    <row r="76" spans="1:24" s="2" customFormat="1" x14ac:dyDescent="0.25">
      <c r="A76" s="419"/>
      <c r="B76" s="443"/>
      <c r="C76" s="428"/>
      <c r="D76" s="428"/>
      <c r="E76" s="428"/>
      <c r="F76" s="422"/>
      <c r="G76" s="465"/>
      <c r="H76" s="425"/>
      <c r="I76" s="437"/>
      <c r="J76" s="551"/>
      <c r="K76" s="554"/>
      <c r="L76" s="428"/>
      <c r="M76" s="428"/>
      <c r="N76" s="366">
        <v>44377</v>
      </c>
      <c r="O76" s="440"/>
      <c r="P76" s="344">
        <v>1800</v>
      </c>
      <c r="Q76" s="345">
        <v>44383</v>
      </c>
      <c r="R76" s="346"/>
      <c r="S76" s="344"/>
      <c r="T76" s="344"/>
      <c r="U76" s="425"/>
      <c r="V76" s="548"/>
      <c r="W76" s="434"/>
      <c r="X76" s="2">
        <v>7</v>
      </c>
    </row>
    <row r="77" spans="1:24" s="2" customFormat="1" x14ac:dyDescent="0.25">
      <c r="A77" s="420"/>
      <c r="B77" s="444"/>
      <c r="C77" s="429"/>
      <c r="D77" s="429"/>
      <c r="E77" s="429"/>
      <c r="F77" s="423"/>
      <c r="G77" s="466"/>
      <c r="H77" s="426"/>
      <c r="I77" s="438"/>
      <c r="J77" s="552"/>
      <c r="K77" s="555"/>
      <c r="L77" s="429"/>
      <c r="M77" s="429"/>
      <c r="N77" s="367">
        <v>44469</v>
      </c>
      <c r="O77" s="441"/>
      <c r="P77" s="347">
        <v>1800</v>
      </c>
      <c r="Q77" s="348">
        <v>44489</v>
      </c>
      <c r="R77" s="349"/>
      <c r="S77" s="347"/>
      <c r="T77" s="347"/>
      <c r="U77" s="426"/>
      <c r="V77" s="549"/>
      <c r="W77" s="435"/>
      <c r="X77" s="2">
        <v>7</v>
      </c>
    </row>
    <row r="78" spans="1:24" s="117" customFormat="1" ht="131.25" customHeight="1" x14ac:dyDescent="0.25">
      <c r="A78" s="538">
        <v>8</v>
      </c>
      <c r="B78" s="544" t="s">
        <v>56</v>
      </c>
      <c r="C78" s="470" t="s">
        <v>146</v>
      </c>
      <c r="D78" s="470" t="s">
        <v>160</v>
      </c>
      <c r="E78" s="470" t="s">
        <v>188</v>
      </c>
      <c r="F78" s="476">
        <v>44217</v>
      </c>
      <c r="G78" s="473" t="s">
        <v>189</v>
      </c>
      <c r="H78" s="479">
        <v>96050</v>
      </c>
      <c r="I78" s="482">
        <f>IF(X78 = 8, H78 + SUM(S78:S87) - SUM(T78:T87) - SUM(P78:P87) - V78,0)</f>
        <v>0</v>
      </c>
      <c r="J78" s="576">
        <v>2353020735</v>
      </c>
      <c r="K78" s="579" t="s">
        <v>173</v>
      </c>
      <c r="L78" s="470"/>
      <c r="M78" s="470" t="s">
        <v>190</v>
      </c>
      <c r="N78" s="229">
        <v>44225</v>
      </c>
      <c r="O78" s="541" t="s">
        <v>63</v>
      </c>
      <c r="P78" s="213">
        <v>9204</v>
      </c>
      <c r="Q78" s="214">
        <v>44238</v>
      </c>
      <c r="R78" s="215"/>
      <c r="S78" s="213"/>
      <c r="T78" s="213"/>
      <c r="U78" s="479"/>
      <c r="V78" s="556">
        <v>26042</v>
      </c>
      <c r="W78" s="467"/>
      <c r="X78" s="117">
        <v>8</v>
      </c>
    </row>
    <row r="79" spans="1:24" s="2" customFormat="1" x14ac:dyDescent="0.25">
      <c r="A79" s="539"/>
      <c r="B79" s="545"/>
      <c r="C79" s="471"/>
      <c r="D79" s="471"/>
      <c r="E79" s="471"/>
      <c r="F79" s="477"/>
      <c r="G79" s="474"/>
      <c r="H79" s="480"/>
      <c r="I79" s="483"/>
      <c r="J79" s="577"/>
      <c r="K79" s="580"/>
      <c r="L79" s="471"/>
      <c r="M79" s="471"/>
      <c r="N79" s="230">
        <v>44225</v>
      </c>
      <c r="O79" s="542"/>
      <c r="P79" s="216">
        <v>4510</v>
      </c>
      <c r="Q79" s="217">
        <v>44238</v>
      </c>
      <c r="R79" s="218"/>
      <c r="S79" s="216"/>
      <c r="T79" s="216"/>
      <c r="U79" s="480"/>
      <c r="V79" s="557"/>
      <c r="W79" s="468"/>
      <c r="X79" s="2">
        <v>8</v>
      </c>
    </row>
    <row r="80" spans="1:24" s="2" customFormat="1" x14ac:dyDescent="0.25">
      <c r="A80" s="539"/>
      <c r="B80" s="545"/>
      <c r="C80" s="471"/>
      <c r="D80" s="471"/>
      <c r="E80" s="471"/>
      <c r="F80" s="477"/>
      <c r="G80" s="474"/>
      <c r="H80" s="480"/>
      <c r="I80" s="483"/>
      <c r="J80" s="577"/>
      <c r="K80" s="580"/>
      <c r="L80" s="471"/>
      <c r="M80" s="471"/>
      <c r="N80" s="230">
        <v>44217</v>
      </c>
      <c r="O80" s="542"/>
      <c r="P80" s="216">
        <v>11724</v>
      </c>
      <c r="Q80" s="217">
        <v>44267</v>
      </c>
      <c r="R80" s="218"/>
      <c r="S80" s="216"/>
      <c r="T80" s="216"/>
      <c r="U80" s="480"/>
      <c r="V80" s="557"/>
      <c r="W80" s="468"/>
      <c r="X80" s="2">
        <v>8</v>
      </c>
    </row>
    <row r="81" spans="1:24" s="2" customFormat="1" x14ac:dyDescent="0.25">
      <c r="A81" s="539"/>
      <c r="B81" s="545"/>
      <c r="C81" s="471"/>
      <c r="D81" s="471"/>
      <c r="E81" s="471"/>
      <c r="F81" s="477"/>
      <c r="G81" s="474"/>
      <c r="H81" s="480"/>
      <c r="I81" s="483"/>
      <c r="J81" s="577"/>
      <c r="K81" s="580"/>
      <c r="L81" s="471"/>
      <c r="M81" s="471"/>
      <c r="N81" s="230">
        <v>44217</v>
      </c>
      <c r="O81" s="542"/>
      <c r="P81" s="216">
        <v>5610</v>
      </c>
      <c r="Q81" s="217">
        <v>44267</v>
      </c>
      <c r="R81" s="218"/>
      <c r="S81" s="216"/>
      <c r="T81" s="216"/>
      <c r="U81" s="480"/>
      <c r="V81" s="557"/>
      <c r="W81" s="468"/>
      <c r="X81" s="2">
        <v>8</v>
      </c>
    </row>
    <row r="82" spans="1:24" s="2" customFormat="1" x14ac:dyDescent="0.25">
      <c r="A82" s="539"/>
      <c r="B82" s="545"/>
      <c r="C82" s="471"/>
      <c r="D82" s="471"/>
      <c r="E82" s="471"/>
      <c r="F82" s="477"/>
      <c r="G82" s="474"/>
      <c r="H82" s="480"/>
      <c r="I82" s="483"/>
      <c r="J82" s="577"/>
      <c r="K82" s="580"/>
      <c r="L82" s="471"/>
      <c r="M82" s="471"/>
      <c r="N82" s="230">
        <v>44286</v>
      </c>
      <c r="O82" s="542"/>
      <c r="P82" s="216">
        <v>4490</v>
      </c>
      <c r="Q82" s="217">
        <v>44298</v>
      </c>
      <c r="R82" s="218"/>
      <c r="S82" s="216"/>
      <c r="T82" s="216"/>
      <c r="U82" s="480"/>
      <c r="V82" s="557"/>
      <c r="W82" s="468"/>
      <c r="X82" s="2">
        <v>8</v>
      </c>
    </row>
    <row r="83" spans="1:24" s="2" customFormat="1" x14ac:dyDescent="0.25">
      <c r="A83" s="539"/>
      <c r="B83" s="545"/>
      <c r="C83" s="471"/>
      <c r="D83" s="471"/>
      <c r="E83" s="471"/>
      <c r="F83" s="477"/>
      <c r="G83" s="474"/>
      <c r="H83" s="480"/>
      <c r="I83" s="483"/>
      <c r="J83" s="577"/>
      <c r="K83" s="580"/>
      <c r="L83" s="471"/>
      <c r="M83" s="471"/>
      <c r="N83" s="230">
        <v>44286</v>
      </c>
      <c r="O83" s="542"/>
      <c r="P83" s="216">
        <v>9528</v>
      </c>
      <c r="Q83" s="217">
        <v>44300</v>
      </c>
      <c r="R83" s="218"/>
      <c r="S83" s="216"/>
      <c r="T83" s="216"/>
      <c r="U83" s="480"/>
      <c r="V83" s="557"/>
      <c r="W83" s="468"/>
      <c r="X83" s="2">
        <v>8</v>
      </c>
    </row>
    <row r="84" spans="1:24" s="2" customFormat="1" x14ac:dyDescent="0.25">
      <c r="A84" s="539"/>
      <c r="B84" s="545"/>
      <c r="C84" s="471"/>
      <c r="D84" s="471"/>
      <c r="E84" s="471"/>
      <c r="F84" s="477"/>
      <c r="G84" s="474"/>
      <c r="H84" s="480"/>
      <c r="I84" s="483"/>
      <c r="J84" s="577"/>
      <c r="K84" s="580"/>
      <c r="L84" s="471"/>
      <c r="M84" s="471"/>
      <c r="N84" s="230">
        <v>44316</v>
      </c>
      <c r="O84" s="542"/>
      <c r="P84" s="216">
        <v>12780</v>
      </c>
      <c r="Q84" s="217">
        <v>44335</v>
      </c>
      <c r="R84" s="218"/>
      <c r="S84" s="216"/>
      <c r="T84" s="216"/>
      <c r="U84" s="480"/>
      <c r="V84" s="557"/>
      <c r="W84" s="468"/>
      <c r="X84" s="2">
        <v>8</v>
      </c>
    </row>
    <row r="85" spans="1:24" s="2" customFormat="1" x14ac:dyDescent="0.25">
      <c r="A85" s="539"/>
      <c r="B85" s="545"/>
      <c r="C85" s="471"/>
      <c r="D85" s="471"/>
      <c r="E85" s="471"/>
      <c r="F85" s="477"/>
      <c r="G85" s="474"/>
      <c r="H85" s="480"/>
      <c r="I85" s="483"/>
      <c r="J85" s="577"/>
      <c r="K85" s="580"/>
      <c r="L85" s="471"/>
      <c r="M85" s="471"/>
      <c r="N85" s="230">
        <v>44316</v>
      </c>
      <c r="O85" s="542"/>
      <c r="P85" s="216">
        <v>5820</v>
      </c>
      <c r="Q85" s="217">
        <v>44335</v>
      </c>
      <c r="R85" s="218"/>
      <c r="S85" s="216"/>
      <c r="T85" s="216"/>
      <c r="U85" s="480"/>
      <c r="V85" s="557"/>
      <c r="W85" s="468"/>
      <c r="X85" s="2">
        <v>8</v>
      </c>
    </row>
    <row r="86" spans="1:24" s="2" customFormat="1" x14ac:dyDescent="0.25">
      <c r="A86" s="539"/>
      <c r="B86" s="545"/>
      <c r="C86" s="471"/>
      <c r="D86" s="471"/>
      <c r="E86" s="471"/>
      <c r="F86" s="477"/>
      <c r="G86" s="474"/>
      <c r="H86" s="480"/>
      <c r="I86" s="483"/>
      <c r="J86" s="577"/>
      <c r="K86" s="580"/>
      <c r="L86" s="471"/>
      <c r="M86" s="471"/>
      <c r="N86" s="230">
        <v>44337</v>
      </c>
      <c r="O86" s="542"/>
      <c r="P86" s="216">
        <v>4332</v>
      </c>
      <c r="Q86" s="217">
        <v>44354</v>
      </c>
      <c r="R86" s="218"/>
      <c r="S86" s="216"/>
      <c r="T86" s="216"/>
      <c r="U86" s="480"/>
      <c r="V86" s="557"/>
      <c r="W86" s="468"/>
      <c r="X86" s="2">
        <v>8</v>
      </c>
    </row>
    <row r="87" spans="1:24" s="2" customFormat="1" x14ac:dyDescent="0.25">
      <c r="A87" s="540"/>
      <c r="B87" s="546"/>
      <c r="C87" s="472"/>
      <c r="D87" s="472"/>
      <c r="E87" s="472"/>
      <c r="F87" s="478"/>
      <c r="G87" s="475"/>
      <c r="H87" s="481"/>
      <c r="I87" s="484"/>
      <c r="J87" s="578"/>
      <c r="K87" s="581"/>
      <c r="L87" s="472"/>
      <c r="M87" s="472"/>
      <c r="N87" s="231">
        <v>44337</v>
      </c>
      <c r="O87" s="543"/>
      <c r="P87" s="224">
        <v>2010</v>
      </c>
      <c r="Q87" s="225">
        <v>44354</v>
      </c>
      <c r="R87" s="226"/>
      <c r="S87" s="224"/>
      <c r="T87" s="224"/>
      <c r="U87" s="481"/>
      <c r="V87" s="558"/>
      <c r="W87" s="469"/>
      <c r="X87" s="2">
        <v>8</v>
      </c>
    </row>
    <row r="88" spans="1:24" s="117" customFormat="1" ht="150" customHeight="1" x14ac:dyDescent="0.25">
      <c r="A88" s="671">
        <v>9</v>
      </c>
      <c r="B88" s="645" t="s">
        <v>56</v>
      </c>
      <c r="C88" s="594" t="s">
        <v>146</v>
      </c>
      <c r="D88" s="594" t="s">
        <v>191</v>
      </c>
      <c r="E88" s="594" t="s">
        <v>192</v>
      </c>
      <c r="F88" s="654">
        <v>44217</v>
      </c>
      <c r="G88" s="657" t="s">
        <v>172</v>
      </c>
      <c r="H88" s="600">
        <v>77385</v>
      </c>
      <c r="I88" s="660">
        <f>IF(X88 = 9, H88 + SUM(S88:S89) - SUM(T88:T89) - SUM(P88:P89) - V88,0)</f>
        <v>0</v>
      </c>
      <c r="J88" s="663">
        <v>2353020735</v>
      </c>
      <c r="K88" s="666" t="s">
        <v>173</v>
      </c>
      <c r="L88" s="594"/>
      <c r="M88" s="594" t="s">
        <v>293</v>
      </c>
      <c r="N88" s="132">
        <v>44225</v>
      </c>
      <c r="O88" s="597" t="s">
        <v>63</v>
      </c>
      <c r="P88" s="126">
        <v>30079.5</v>
      </c>
      <c r="Q88" s="127">
        <v>44256</v>
      </c>
      <c r="R88" s="128"/>
      <c r="S88" s="126"/>
      <c r="T88" s="126"/>
      <c r="U88" s="600" t="s">
        <v>296</v>
      </c>
      <c r="V88" s="648">
        <v>12523.5</v>
      </c>
      <c r="W88" s="651"/>
      <c r="X88" s="117">
        <v>9</v>
      </c>
    </row>
    <row r="89" spans="1:24" s="2" customFormat="1" x14ac:dyDescent="0.25">
      <c r="A89" s="673"/>
      <c r="B89" s="647"/>
      <c r="C89" s="596"/>
      <c r="D89" s="596"/>
      <c r="E89" s="596"/>
      <c r="F89" s="656"/>
      <c r="G89" s="659"/>
      <c r="H89" s="602"/>
      <c r="I89" s="662"/>
      <c r="J89" s="665"/>
      <c r="K89" s="668"/>
      <c r="L89" s="596"/>
      <c r="M89" s="596"/>
      <c r="N89" s="133">
        <v>44217</v>
      </c>
      <c r="O89" s="599"/>
      <c r="P89" s="129">
        <v>34782</v>
      </c>
      <c r="Q89" s="130">
        <v>44267</v>
      </c>
      <c r="R89" s="131"/>
      <c r="S89" s="129"/>
      <c r="T89" s="129"/>
      <c r="U89" s="602"/>
      <c r="V89" s="650"/>
      <c r="W89" s="653"/>
      <c r="X89" s="2">
        <v>9</v>
      </c>
    </row>
    <row r="90" spans="1:24" s="117" customFormat="1" ht="131.25" customHeight="1" x14ac:dyDescent="0.25">
      <c r="A90" s="538">
        <v>10</v>
      </c>
      <c r="B90" s="544" t="s">
        <v>56</v>
      </c>
      <c r="C90" s="470" t="s">
        <v>146</v>
      </c>
      <c r="D90" s="470" t="s">
        <v>147</v>
      </c>
      <c r="E90" s="470" t="s">
        <v>194</v>
      </c>
      <c r="F90" s="476">
        <v>44217</v>
      </c>
      <c r="G90" s="473" t="s">
        <v>193</v>
      </c>
      <c r="H90" s="479">
        <v>39508</v>
      </c>
      <c r="I90" s="482">
        <f>IF(X90 = 10, H90 + SUM(S90:S94) - SUM(T90:T94) - SUM(P90:P94) - V90,0)</f>
        <v>0</v>
      </c>
      <c r="J90" s="576">
        <v>2353020735</v>
      </c>
      <c r="K90" s="579" t="s">
        <v>173</v>
      </c>
      <c r="L90" s="470" t="s">
        <v>146</v>
      </c>
      <c r="M90" s="470" t="s">
        <v>294</v>
      </c>
      <c r="N90" s="229">
        <v>44217</v>
      </c>
      <c r="O90" s="541" t="s">
        <v>63</v>
      </c>
      <c r="P90" s="213">
        <v>7174</v>
      </c>
      <c r="Q90" s="214">
        <v>44238</v>
      </c>
      <c r="R90" s="215"/>
      <c r="S90" s="213"/>
      <c r="T90" s="213"/>
      <c r="U90" s="479"/>
      <c r="V90" s="556">
        <v>579</v>
      </c>
      <c r="W90" s="467"/>
      <c r="X90" s="117">
        <v>10</v>
      </c>
    </row>
    <row r="91" spans="1:24" s="2" customFormat="1" x14ac:dyDescent="0.25">
      <c r="A91" s="539"/>
      <c r="B91" s="545"/>
      <c r="C91" s="471"/>
      <c r="D91" s="471"/>
      <c r="E91" s="471"/>
      <c r="F91" s="477"/>
      <c r="G91" s="474"/>
      <c r="H91" s="480"/>
      <c r="I91" s="483"/>
      <c r="J91" s="577"/>
      <c r="K91" s="580"/>
      <c r="L91" s="471"/>
      <c r="M91" s="471"/>
      <c r="N91" s="230">
        <v>44217</v>
      </c>
      <c r="O91" s="542"/>
      <c r="P91" s="216">
        <v>8662</v>
      </c>
      <c r="Q91" s="217">
        <v>44267</v>
      </c>
      <c r="R91" s="218"/>
      <c r="S91" s="216"/>
      <c r="T91" s="216"/>
      <c r="U91" s="480"/>
      <c r="V91" s="557"/>
      <c r="W91" s="468"/>
      <c r="X91" s="2">
        <v>10</v>
      </c>
    </row>
    <row r="92" spans="1:24" s="2" customFormat="1" x14ac:dyDescent="0.25">
      <c r="A92" s="539"/>
      <c r="B92" s="545"/>
      <c r="C92" s="471"/>
      <c r="D92" s="471"/>
      <c r="E92" s="471"/>
      <c r="F92" s="477"/>
      <c r="G92" s="474"/>
      <c r="H92" s="480"/>
      <c r="I92" s="483"/>
      <c r="J92" s="577"/>
      <c r="K92" s="580"/>
      <c r="L92" s="471"/>
      <c r="M92" s="471"/>
      <c r="N92" s="230">
        <v>44286</v>
      </c>
      <c r="O92" s="542"/>
      <c r="P92" s="216">
        <v>7370</v>
      </c>
      <c r="Q92" s="217">
        <v>44298</v>
      </c>
      <c r="R92" s="218"/>
      <c r="S92" s="216"/>
      <c r="T92" s="216"/>
      <c r="U92" s="480"/>
      <c r="V92" s="557"/>
      <c r="W92" s="468"/>
      <c r="X92" s="2">
        <v>10</v>
      </c>
    </row>
    <row r="93" spans="1:24" s="2" customFormat="1" x14ac:dyDescent="0.25">
      <c r="A93" s="539"/>
      <c r="B93" s="545"/>
      <c r="C93" s="471"/>
      <c r="D93" s="471"/>
      <c r="E93" s="471"/>
      <c r="F93" s="477"/>
      <c r="G93" s="474"/>
      <c r="H93" s="480"/>
      <c r="I93" s="483"/>
      <c r="J93" s="577"/>
      <c r="K93" s="580"/>
      <c r="L93" s="471"/>
      <c r="M93" s="471"/>
      <c r="N93" s="230">
        <v>44316</v>
      </c>
      <c r="O93" s="542"/>
      <c r="P93" s="216">
        <v>11116</v>
      </c>
      <c r="Q93" s="217">
        <v>44335</v>
      </c>
      <c r="R93" s="218"/>
      <c r="S93" s="216"/>
      <c r="T93" s="216"/>
      <c r="U93" s="480"/>
      <c r="V93" s="557"/>
      <c r="W93" s="468"/>
      <c r="X93" s="2">
        <v>10</v>
      </c>
    </row>
    <row r="94" spans="1:24" s="2" customFormat="1" x14ac:dyDescent="0.25">
      <c r="A94" s="540"/>
      <c r="B94" s="546"/>
      <c r="C94" s="472"/>
      <c r="D94" s="472"/>
      <c r="E94" s="472"/>
      <c r="F94" s="478"/>
      <c r="G94" s="475"/>
      <c r="H94" s="481"/>
      <c r="I94" s="484"/>
      <c r="J94" s="578"/>
      <c r="K94" s="581"/>
      <c r="L94" s="472"/>
      <c r="M94" s="472"/>
      <c r="N94" s="231">
        <v>44337</v>
      </c>
      <c r="O94" s="543"/>
      <c r="P94" s="224">
        <v>4607</v>
      </c>
      <c r="Q94" s="225">
        <v>44354</v>
      </c>
      <c r="R94" s="226"/>
      <c r="S94" s="224"/>
      <c r="T94" s="224"/>
      <c r="U94" s="481"/>
      <c r="V94" s="558"/>
      <c r="W94" s="469"/>
      <c r="X94" s="2">
        <v>10</v>
      </c>
    </row>
    <row r="95" spans="1:24" s="117" customFormat="1" ht="131.25" customHeight="1" x14ac:dyDescent="0.25">
      <c r="A95" s="705">
        <v>11</v>
      </c>
      <c r="B95" s="706" t="s">
        <v>56</v>
      </c>
      <c r="C95" s="707" t="s">
        <v>146</v>
      </c>
      <c r="D95" s="707" t="s">
        <v>147</v>
      </c>
      <c r="E95" s="707" t="s">
        <v>200</v>
      </c>
      <c r="F95" s="744">
        <v>44217</v>
      </c>
      <c r="G95" s="708" t="s">
        <v>201</v>
      </c>
      <c r="H95" s="709">
        <v>17000</v>
      </c>
      <c r="I95" s="710">
        <f>IF(X95 = 11, H95 + SUM(S95:S104) - SUM(T95:T104) - SUM(P95:P104) - V95,0)</f>
        <v>2337.8199999999997</v>
      </c>
      <c r="J95" s="711">
        <v>7707049388</v>
      </c>
      <c r="K95" s="712" t="s">
        <v>202</v>
      </c>
      <c r="L95" s="707" t="s">
        <v>146</v>
      </c>
      <c r="M95" s="707" t="s">
        <v>199</v>
      </c>
      <c r="N95" s="747">
        <v>44227</v>
      </c>
      <c r="O95" s="750" t="s">
        <v>63</v>
      </c>
      <c r="P95" s="713">
        <v>1596.46</v>
      </c>
      <c r="Q95" s="714">
        <v>44244</v>
      </c>
      <c r="R95" s="715"/>
      <c r="S95" s="713"/>
      <c r="T95" s="713"/>
      <c r="U95" s="709"/>
      <c r="V95" s="716"/>
      <c r="W95" s="717"/>
      <c r="X95" s="117">
        <v>11</v>
      </c>
    </row>
    <row r="96" spans="1:24" s="2" customFormat="1" x14ac:dyDescent="0.25">
      <c r="A96" s="718"/>
      <c r="B96" s="719"/>
      <c r="C96" s="720"/>
      <c r="D96" s="720"/>
      <c r="E96" s="720"/>
      <c r="F96" s="745"/>
      <c r="G96" s="721"/>
      <c r="H96" s="722"/>
      <c r="I96" s="723"/>
      <c r="J96" s="724"/>
      <c r="K96" s="725"/>
      <c r="L96" s="720"/>
      <c r="M96" s="720"/>
      <c r="N96" s="748">
        <v>44255</v>
      </c>
      <c r="O96" s="751"/>
      <c r="P96" s="726">
        <v>1459.99</v>
      </c>
      <c r="Q96" s="727">
        <v>44300</v>
      </c>
      <c r="R96" s="728"/>
      <c r="S96" s="726"/>
      <c r="T96" s="726"/>
      <c r="U96" s="722"/>
      <c r="V96" s="729"/>
      <c r="W96" s="730"/>
      <c r="X96" s="2">
        <v>11</v>
      </c>
    </row>
    <row r="97" spans="1:24" s="2" customFormat="1" x14ac:dyDescent="0.25">
      <c r="A97" s="718"/>
      <c r="B97" s="719"/>
      <c r="C97" s="720"/>
      <c r="D97" s="720"/>
      <c r="E97" s="720"/>
      <c r="F97" s="745"/>
      <c r="G97" s="721"/>
      <c r="H97" s="722"/>
      <c r="I97" s="723"/>
      <c r="J97" s="724"/>
      <c r="K97" s="725"/>
      <c r="L97" s="720"/>
      <c r="M97" s="720"/>
      <c r="N97" s="748">
        <v>44286</v>
      </c>
      <c r="O97" s="751"/>
      <c r="P97" s="726">
        <v>1714.49</v>
      </c>
      <c r="Q97" s="727">
        <v>44300</v>
      </c>
      <c r="R97" s="728"/>
      <c r="S97" s="726"/>
      <c r="T97" s="726"/>
      <c r="U97" s="722"/>
      <c r="V97" s="729"/>
      <c r="W97" s="730"/>
      <c r="X97" s="2">
        <v>11</v>
      </c>
    </row>
    <row r="98" spans="1:24" s="2" customFormat="1" x14ac:dyDescent="0.25">
      <c r="A98" s="718"/>
      <c r="B98" s="719"/>
      <c r="C98" s="720"/>
      <c r="D98" s="720"/>
      <c r="E98" s="720"/>
      <c r="F98" s="745"/>
      <c r="G98" s="721"/>
      <c r="H98" s="722"/>
      <c r="I98" s="723"/>
      <c r="J98" s="724"/>
      <c r="K98" s="725"/>
      <c r="L98" s="720"/>
      <c r="M98" s="720"/>
      <c r="N98" s="748">
        <v>44316</v>
      </c>
      <c r="O98" s="751"/>
      <c r="P98" s="726">
        <v>1610.89</v>
      </c>
      <c r="Q98" s="727">
        <v>44333</v>
      </c>
      <c r="R98" s="728"/>
      <c r="S98" s="726"/>
      <c r="T98" s="726"/>
      <c r="U98" s="722"/>
      <c r="V98" s="729"/>
      <c r="W98" s="730"/>
      <c r="X98" s="2">
        <v>11</v>
      </c>
    </row>
    <row r="99" spans="1:24" s="2" customFormat="1" x14ac:dyDescent="0.25">
      <c r="A99" s="718"/>
      <c r="B99" s="719"/>
      <c r="C99" s="720"/>
      <c r="D99" s="720"/>
      <c r="E99" s="720"/>
      <c r="F99" s="745"/>
      <c r="G99" s="721"/>
      <c r="H99" s="722"/>
      <c r="I99" s="723"/>
      <c r="J99" s="724"/>
      <c r="K99" s="725"/>
      <c r="L99" s="720"/>
      <c r="M99" s="720"/>
      <c r="N99" s="748">
        <v>44347</v>
      </c>
      <c r="O99" s="751"/>
      <c r="P99" s="726">
        <v>1387.09</v>
      </c>
      <c r="Q99" s="727">
        <v>44357</v>
      </c>
      <c r="R99" s="728"/>
      <c r="S99" s="726"/>
      <c r="T99" s="726"/>
      <c r="U99" s="722"/>
      <c r="V99" s="729"/>
      <c r="W99" s="730"/>
      <c r="X99" s="2">
        <v>11</v>
      </c>
    </row>
    <row r="100" spans="1:24" s="2" customFormat="1" x14ac:dyDescent="0.25">
      <c r="A100" s="718"/>
      <c r="B100" s="719"/>
      <c r="C100" s="720"/>
      <c r="D100" s="720"/>
      <c r="E100" s="720"/>
      <c r="F100" s="745"/>
      <c r="G100" s="721"/>
      <c r="H100" s="722"/>
      <c r="I100" s="723"/>
      <c r="J100" s="724"/>
      <c r="K100" s="725"/>
      <c r="L100" s="720"/>
      <c r="M100" s="720"/>
      <c r="N100" s="748">
        <v>44377</v>
      </c>
      <c r="O100" s="751"/>
      <c r="P100" s="726">
        <v>1535.93</v>
      </c>
      <c r="Q100" s="727">
        <v>44392</v>
      </c>
      <c r="R100" s="728"/>
      <c r="S100" s="726"/>
      <c r="T100" s="726"/>
      <c r="U100" s="722"/>
      <c r="V100" s="729"/>
      <c r="W100" s="730"/>
      <c r="X100" s="2">
        <v>11</v>
      </c>
    </row>
    <row r="101" spans="1:24" s="2" customFormat="1" x14ac:dyDescent="0.25">
      <c r="A101" s="718"/>
      <c r="B101" s="719"/>
      <c r="C101" s="720"/>
      <c r="D101" s="720"/>
      <c r="E101" s="720"/>
      <c r="F101" s="745"/>
      <c r="G101" s="721"/>
      <c r="H101" s="722"/>
      <c r="I101" s="723"/>
      <c r="J101" s="724"/>
      <c r="K101" s="725"/>
      <c r="L101" s="720"/>
      <c r="M101" s="720"/>
      <c r="N101" s="748">
        <v>44408</v>
      </c>
      <c r="O101" s="751"/>
      <c r="P101" s="726">
        <v>1486.13</v>
      </c>
      <c r="Q101" s="727">
        <v>44426</v>
      </c>
      <c r="R101" s="728"/>
      <c r="S101" s="726"/>
      <c r="T101" s="726"/>
      <c r="U101" s="722"/>
      <c r="V101" s="729"/>
      <c r="W101" s="730"/>
      <c r="X101" s="2">
        <v>11</v>
      </c>
    </row>
    <row r="102" spans="1:24" s="2" customFormat="1" x14ac:dyDescent="0.25">
      <c r="A102" s="718"/>
      <c r="B102" s="719"/>
      <c r="C102" s="720"/>
      <c r="D102" s="720"/>
      <c r="E102" s="720"/>
      <c r="F102" s="745"/>
      <c r="G102" s="721"/>
      <c r="H102" s="722"/>
      <c r="I102" s="723"/>
      <c r="J102" s="724"/>
      <c r="K102" s="725"/>
      <c r="L102" s="720"/>
      <c r="M102" s="720"/>
      <c r="N102" s="748">
        <v>44439</v>
      </c>
      <c r="O102" s="751"/>
      <c r="P102" s="726">
        <v>1273.48</v>
      </c>
      <c r="Q102" s="727">
        <v>44447</v>
      </c>
      <c r="R102" s="728"/>
      <c r="S102" s="726"/>
      <c r="T102" s="726"/>
      <c r="U102" s="722"/>
      <c r="V102" s="729"/>
      <c r="W102" s="730"/>
      <c r="X102" s="2">
        <v>11</v>
      </c>
    </row>
    <row r="103" spans="1:24" s="2" customFormat="1" x14ac:dyDescent="0.25">
      <c r="A103" s="718"/>
      <c r="B103" s="719"/>
      <c r="C103" s="720"/>
      <c r="D103" s="720"/>
      <c r="E103" s="720"/>
      <c r="F103" s="745"/>
      <c r="G103" s="721"/>
      <c r="H103" s="722"/>
      <c r="I103" s="723"/>
      <c r="J103" s="724"/>
      <c r="K103" s="725"/>
      <c r="L103" s="720"/>
      <c r="M103" s="720"/>
      <c r="N103" s="748">
        <v>44469</v>
      </c>
      <c r="O103" s="751"/>
      <c r="P103" s="726">
        <v>1348.03</v>
      </c>
      <c r="Q103" s="727">
        <v>44487</v>
      </c>
      <c r="R103" s="728"/>
      <c r="S103" s="726"/>
      <c r="T103" s="726"/>
      <c r="U103" s="722"/>
      <c r="V103" s="729"/>
      <c r="W103" s="730"/>
      <c r="X103" s="2">
        <v>11</v>
      </c>
    </row>
    <row r="104" spans="1:24" s="2" customFormat="1" x14ac:dyDescent="0.25">
      <c r="A104" s="731"/>
      <c r="B104" s="732"/>
      <c r="C104" s="733"/>
      <c r="D104" s="733"/>
      <c r="E104" s="733"/>
      <c r="F104" s="746"/>
      <c r="G104" s="734"/>
      <c r="H104" s="735"/>
      <c r="I104" s="736"/>
      <c r="J104" s="737"/>
      <c r="K104" s="738"/>
      <c r="L104" s="733"/>
      <c r="M104" s="733"/>
      <c r="N104" s="749">
        <v>44500</v>
      </c>
      <c r="O104" s="752"/>
      <c r="P104" s="739">
        <v>1249.69</v>
      </c>
      <c r="Q104" s="740">
        <v>44510</v>
      </c>
      <c r="R104" s="741"/>
      <c r="S104" s="739"/>
      <c r="T104" s="739"/>
      <c r="U104" s="735"/>
      <c r="V104" s="742"/>
      <c r="W104" s="743"/>
      <c r="X104" s="2">
        <v>11</v>
      </c>
    </row>
    <row r="105" spans="1:24" s="117" customFormat="1" ht="131.25" customHeight="1" x14ac:dyDescent="0.25">
      <c r="A105" s="705">
        <v>12</v>
      </c>
      <c r="B105" s="706" t="s">
        <v>56</v>
      </c>
      <c r="C105" s="707" t="s">
        <v>146</v>
      </c>
      <c r="D105" s="707" t="s">
        <v>147</v>
      </c>
      <c r="E105" s="707" t="s">
        <v>204</v>
      </c>
      <c r="F105" s="744">
        <v>44217</v>
      </c>
      <c r="G105" s="708" t="s">
        <v>203</v>
      </c>
      <c r="H105" s="709">
        <v>2000</v>
      </c>
      <c r="I105" s="710">
        <f>IF(X105 = 12, H105 + SUM(S105:S114) - SUM(T105:T114) - SUM(P105:P114) - V105,0)</f>
        <v>1029.46</v>
      </c>
      <c r="J105" s="711">
        <v>7707049388</v>
      </c>
      <c r="K105" s="712" t="s">
        <v>202</v>
      </c>
      <c r="L105" s="707" t="s">
        <v>146</v>
      </c>
      <c r="M105" s="707" t="s">
        <v>199</v>
      </c>
      <c r="N105" s="747">
        <v>44227</v>
      </c>
      <c r="O105" s="750" t="s">
        <v>63</v>
      </c>
      <c r="P105" s="713">
        <v>289.82</v>
      </c>
      <c r="Q105" s="714">
        <v>44244</v>
      </c>
      <c r="R105" s="715"/>
      <c r="S105" s="713"/>
      <c r="T105" s="713"/>
      <c r="U105" s="709"/>
      <c r="V105" s="716"/>
      <c r="W105" s="717"/>
      <c r="X105" s="117">
        <v>12</v>
      </c>
    </row>
    <row r="106" spans="1:24" s="2" customFormat="1" x14ac:dyDescent="0.25">
      <c r="A106" s="718"/>
      <c r="B106" s="719"/>
      <c r="C106" s="720"/>
      <c r="D106" s="720"/>
      <c r="E106" s="720"/>
      <c r="F106" s="745"/>
      <c r="G106" s="721"/>
      <c r="H106" s="722"/>
      <c r="I106" s="723"/>
      <c r="J106" s="724"/>
      <c r="K106" s="725"/>
      <c r="L106" s="720"/>
      <c r="M106" s="720"/>
      <c r="N106" s="748">
        <v>44255</v>
      </c>
      <c r="O106" s="751"/>
      <c r="P106" s="726">
        <v>203.59</v>
      </c>
      <c r="Q106" s="727">
        <v>44300</v>
      </c>
      <c r="R106" s="728"/>
      <c r="S106" s="726"/>
      <c r="T106" s="726"/>
      <c r="U106" s="722"/>
      <c r="V106" s="729"/>
      <c r="W106" s="730"/>
      <c r="X106" s="2">
        <v>12</v>
      </c>
    </row>
    <row r="107" spans="1:24" s="2" customFormat="1" x14ac:dyDescent="0.25">
      <c r="A107" s="718"/>
      <c r="B107" s="719"/>
      <c r="C107" s="720"/>
      <c r="D107" s="720"/>
      <c r="E107" s="720"/>
      <c r="F107" s="745"/>
      <c r="G107" s="721"/>
      <c r="H107" s="722"/>
      <c r="I107" s="723"/>
      <c r="J107" s="724"/>
      <c r="K107" s="725"/>
      <c r="L107" s="720"/>
      <c r="M107" s="720"/>
      <c r="N107" s="748">
        <v>44286</v>
      </c>
      <c r="O107" s="751"/>
      <c r="P107" s="726">
        <v>229.22</v>
      </c>
      <c r="Q107" s="727">
        <v>44300</v>
      </c>
      <c r="R107" s="728"/>
      <c r="S107" s="726"/>
      <c r="T107" s="726"/>
      <c r="U107" s="722"/>
      <c r="V107" s="729"/>
      <c r="W107" s="730"/>
      <c r="X107" s="2">
        <v>12</v>
      </c>
    </row>
    <row r="108" spans="1:24" s="2" customFormat="1" x14ac:dyDescent="0.25">
      <c r="A108" s="718"/>
      <c r="B108" s="719"/>
      <c r="C108" s="720"/>
      <c r="D108" s="720"/>
      <c r="E108" s="720"/>
      <c r="F108" s="745"/>
      <c r="G108" s="721"/>
      <c r="H108" s="722"/>
      <c r="I108" s="723"/>
      <c r="J108" s="724"/>
      <c r="K108" s="725"/>
      <c r="L108" s="720"/>
      <c r="M108" s="720"/>
      <c r="N108" s="748">
        <v>44316</v>
      </c>
      <c r="O108" s="751"/>
      <c r="P108" s="726">
        <v>78.23</v>
      </c>
      <c r="Q108" s="727">
        <v>44333</v>
      </c>
      <c r="R108" s="728"/>
      <c r="S108" s="726"/>
      <c r="T108" s="726"/>
      <c r="U108" s="722"/>
      <c r="V108" s="729"/>
      <c r="W108" s="730"/>
      <c r="X108" s="2">
        <v>12</v>
      </c>
    </row>
    <row r="109" spans="1:24" s="2" customFormat="1" x14ac:dyDescent="0.25">
      <c r="A109" s="718"/>
      <c r="B109" s="719"/>
      <c r="C109" s="720"/>
      <c r="D109" s="720"/>
      <c r="E109" s="720"/>
      <c r="F109" s="745"/>
      <c r="G109" s="721"/>
      <c r="H109" s="722"/>
      <c r="I109" s="723"/>
      <c r="J109" s="724"/>
      <c r="K109" s="725"/>
      <c r="L109" s="720"/>
      <c r="M109" s="720"/>
      <c r="N109" s="748">
        <v>44347</v>
      </c>
      <c r="O109" s="751"/>
      <c r="P109" s="726">
        <v>59.66</v>
      </c>
      <c r="Q109" s="727">
        <v>44357</v>
      </c>
      <c r="R109" s="728"/>
      <c r="S109" s="726"/>
      <c r="T109" s="726"/>
      <c r="U109" s="722"/>
      <c r="V109" s="729"/>
      <c r="W109" s="730"/>
      <c r="X109" s="2">
        <v>12</v>
      </c>
    </row>
    <row r="110" spans="1:24" s="2" customFormat="1" x14ac:dyDescent="0.25">
      <c r="A110" s="718"/>
      <c r="B110" s="719"/>
      <c r="C110" s="720"/>
      <c r="D110" s="720"/>
      <c r="E110" s="720"/>
      <c r="F110" s="745"/>
      <c r="G110" s="721"/>
      <c r="H110" s="722"/>
      <c r="I110" s="723"/>
      <c r="J110" s="724"/>
      <c r="K110" s="725"/>
      <c r="L110" s="720"/>
      <c r="M110" s="720"/>
      <c r="N110" s="748">
        <v>44377</v>
      </c>
      <c r="O110" s="751"/>
      <c r="P110" s="726">
        <v>53.76</v>
      </c>
      <c r="Q110" s="727">
        <v>44392</v>
      </c>
      <c r="R110" s="728"/>
      <c r="S110" s="726"/>
      <c r="T110" s="726"/>
      <c r="U110" s="722"/>
      <c r="V110" s="729"/>
      <c r="W110" s="730"/>
      <c r="X110" s="2">
        <v>12</v>
      </c>
    </row>
    <row r="111" spans="1:24" s="2" customFormat="1" x14ac:dyDescent="0.25">
      <c r="A111" s="718"/>
      <c r="B111" s="719"/>
      <c r="C111" s="720"/>
      <c r="D111" s="720"/>
      <c r="E111" s="720"/>
      <c r="F111" s="745"/>
      <c r="G111" s="721"/>
      <c r="H111" s="722"/>
      <c r="I111" s="723"/>
      <c r="J111" s="724"/>
      <c r="K111" s="725"/>
      <c r="L111" s="720"/>
      <c r="M111" s="720"/>
      <c r="N111" s="748">
        <v>44408</v>
      </c>
      <c r="O111" s="751"/>
      <c r="P111" s="726">
        <v>22.66</v>
      </c>
      <c r="Q111" s="727">
        <v>44426</v>
      </c>
      <c r="R111" s="728"/>
      <c r="S111" s="726"/>
      <c r="T111" s="726"/>
      <c r="U111" s="722"/>
      <c r="V111" s="729"/>
      <c r="W111" s="730"/>
      <c r="X111" s="2">
        <v>12</v>
      </c>
    </row>
    <row r="112" spans="1:24" s="2" customFormat="1" x14ac:dyDescent="0.25">
      <c r="A112" s="718"/>
      <c r="B112" s="719"/>
      <c r="C112" s="720"/>
      <c r="D112" s="720"/>
      <c r="E112" s="720"/>
      <c r="F112" s="745"/>
      <c r="G112" s="721"/>
      <c r="H112" s="722"/>
      <c r="I112" s="723"/>
      <c r="J112" s="724"/>
      <c r="K112" s="725"/>
      <c r="L112" s="720"/>
      <c r="M112" s="720"/>
      <c r="N112" s="748">
        <v>44439</v>
      </c>
      <c r="O112" s="751"/>
      <c r="P112" s="726">
        <v>20.16</v>
      </c>
      <c r="Q112" s="727">
        <v>44447</v>
      </c>
      <c r="R112" s="728"/>
      <c r="S112" s="726"/>
      <c r="T112" s="726"/>
      <c r="U112" s="722"/>
      <c r="V112" s="729"/>
      <c r="W112" s="730"/>
      <c r="X112" s="2">
        <v>12</v>
      </c>
    </row>
    <row r="113" spans="1:24" s="2" customFormat="1" x14ac:dyDescent="0.25">
      <c r="A113" s="718"/>
      <c r="B113" s="719"/>
      <c r="C113" s="720"/>
      <c r="D113" s="720"/>
      <c r="E113" s="720"/>
      <c r="F113" s="745"/>
      <c r="G113" s="721"/>
      <c r="H113" s="722"/>
      <c r="I113" s="723"/>
      <c r="J113" s="724"/>
      <c r="K113" s="725"/>
      <c r="L113" s="720"/>
      <c r="M113" s="720"/>
      <c r="N113" s="748">
        <v>44469</v>
      </c>
      <c r="O113" s="751"/>
      <c r="P113" s="726">
        <v>13.44</v>
      </c>
      <c r="Q113" s="727">
        <v>44487</v>
      </c>
      <c r="R113" s="728"/>
      <c r="S113" s="726"/>
      <c r="T113" s="726"/>
      <c r="U113" s="722"/>
      <c r="V113" s="729"/>
      <c r="W113" s="730"/>
      <c r="X113" s="2">
        <v>12</v>
      </c>
    </row>
    <row r="114" spans="1:24" s="2" customFormat="1" x14ac:dyDescent="0.25">
      <c r="A114" s="731"/>
      <c r="B114" s="732"/>
      <c r="C114" s="733"/>
      <c r="D114" s="733"/>
      <c r="E114" s="733"/>
      <c r="F114" s="746"/>
      <c r="G114" s="734"/>
      <c r="H114" s="735"/>
      <c r="I114" s="736"/>
      <c r="J114" s="737"/>
      <c r="K114" s="738"/>
      <c r="L114" s="733"/>
      <c r="M114" s="733"/>
      <c r="N114" s="749"/>
      <c r="O114" s="752"/>
      <c r="P114" s="739"/>
      <c r="Q114" s="740"/>
      <c r="R114" s="741"/>
      <c r="S114" s="739"/>
      <c r="T114" s="739"/>
      <c r="U114" s="735"/>
      <c r="V114" s="742"/>
      <c r="W114" s="743"/>
      <c r="X114" s="2">
        <v>12</v>
      </c>
    </row>
    <row r="115" spans="1:24" s="117" customFormat="1" ht="131.25" customHeight="1" x14ac:dyDescent="0.25">
      <c r="A115" s="559">
        <v>13</v>
      </c>
      <c r="B115" s="683" t="s">
        <v>56</v>
      </c>
      <c r="C115" s="591" t="s">
        <v>146</v>
      </c>
      <c r="D115" s="591" t="s">
        <v>147</v>
      </c>
      <c r="E115" s="591" t="s">
        <v>205</v>
      </c>
      <c r="F115" s="677">
        <v>44217</v>
      </c>
      <c r="G115" s="680" t="s">
        <v>206</v>
      </c>
      <c r="H115" s="630">
        <v>418300</v>
      </c>
      <c r="I115" s="642">
        <f>IF(X115 = 13, H115 + SUM(S115:S117) - SUM(T115:T117) - SUM(P115:P117) - V115,0)</f>
        <v>-2.9103830456733704E-11</v>
      </c>
      <c r="J115" s="633">
        <v>2310195709</v>
      </c>
      <c r="K115" s="588" t="s">
        <v>207</v>
      </c>
      <c r="L115" s="591" t="s">
        <v>146</v>
      </c>
      <c r="M115" s="591" t="s">
        <v>208</v>
      </c>
      <c r="N115" s="156">
        <v>44227</v>
      </c>
      <c r="O115" s="627" t="s">
        <v>63</v>
      </c>
      <c r="P115" s="152">
        <v>101060.39</v>
      </c>
      <c r="Q115" s="153">
        <v>44253</v>
      </c>
      <c r="R115" s="158"/>
      <c r="S115" s="152"/>
      <c r="T115" s="152"/>
      <c r="U115" s="630"/>
      <c r="V115" s="686">
        <v>93745.47</v>
      </c>
      <c r="W115" s="674"/>
      <c r="X115" s="117">
        <v>13</v>
      </c>
    </row>
    <row r="116" spans="1:24" s="2" customFormat="1" x14ac:dyDescent="0.25">
      <c r="A116" s="560"/>
      <c r="B116" s="684"/>
      <c r="C116" s="592"/>
      <c r="D116" s="592"/>
      <c r="E116" s="592"/>
      <c r="F116" s="678"/>
      <c r="G116" s="681"/>
      <c r="H116" s="631"/>
      <c r="I116" s="643"/>
      <c r="J116" s="634"/>
      <c r="K116" s="589"/>
      <c r="L116" s="592"/>
      <c r="M116" s="592"/>
      <c r="N116" s="160">
        <v>44255</v>
      </c>
      <c r="O116" s="628"/>
      <c r="P116" s="161">
        <v>112852.45</v>
      </c>
      <c r="Q116" s="162">
        <v>44287</v>
      </c>
      <c r="R116" s="164"/>
      <c r="S116" s="161"/>
      <c r="T116" s="161"/>
      <c r="U116" s="631"/>
      <c r="V116" s="687"/>
      <c r="W116" s="675"/>
      <c r="X116" s="2">
        <v>13</v>
      </c>
    </row>
    <row r="117" spans="1:24" s="2" customFormat="1" x14ac:dyDescent="0.25">
      <c r="A117" s="561"/>
      <c r="B117" s="685"/>
      <c r="C117" s="593"/>
      <c r="D117" s="593"/>
      <c r="E117" s="593"/>
      <c r="F117" s="679"/>
      <c r="G117" s="682"/>
      <c r="H117" s="632"/>
      <c r="I117" s="644"/>
      <c r="J117" s="635"/>
      <c r="K117" s="590"/>
      <c r="L117" s="593"/>
      <c r="M117" s="593"/>
      <c r="N117" s="157">
        <v>44286</v>
      </c>
      <c r="O117" s="629"/>
      <c r="P117" s="154">
        <v>110641.69</v>
      </c>
      <c r="Q117" s="155">
        <v>44306</v>
      </c>
      <c r="R117" s="159"/>
      <c r="S117" s="154"/>
      <c r="T117" s="154"/>
      <c r="U117" s="632"/>
      <c r="V117" s="688"/>
      <c r="W117" s="676"/>
      <c r="X117" s="2">
        <v>13</v>
      </c>
    </row>
    <row r="118" spans="1:24" s="117" customFormat="1" ht="150" customHeight="1" x14ac:dyDescent="0.25">
      <c r="A118" s="585">
        <v>14</v>
      </c>
      <c r="B118" s="582" t="s">
        <v>56</v>
      </c>
      <c r="C118" s="582" t="s">
        <v>146</v>
      </c>
      <c r="D118" s="582" t="s">
        <v>243</v>
      </c>
      <c r="E118" s="582" t="s">
        <v>114</v>
      </c>
      <c r="F118" s="562">
        <v>44256</v>
      </c>
      <c r="G118" s="639" t="s">
        <v>273</v>
      </c>
      <c r="H118" s="565">
        <v>425022.78</v>
      </c>
      <c r="I118" s="618">
        <f>IF(X118 = 14, H118 + SUM(S118:S133) - SUM(T118:T133) - SUM(P118:P133) - V118,0)</f>
        <v>-4.3655745685100555E-11</v>
      </c>
      <c r="J118" s="621">
        <v>2353020735</v>
      </c>
      <c r="K118" s="624" t="s">
        <v>173</v>
      </c>
      <c r="L118" s="582" t="s">
        <v>146</v>
      </c>
      <c r="M118" s="582" t="s">
        <v>295</v>
      </c>
      <c r="N118" s="190">
        <v>44260</v>
      </c>
      <c r="O118" s="562" t="s">
        <v>63</v>
      </c>
      <c r="P118" s="184">
        <v>2048.4</v>
      </c>
      <c r="Q118" s="185">
        <v>44306</v>
      </c>
      <c r="R118" s="193"/>
      <c r="S118" s="184"/>
      <c r="T118" s="184"/>
      <c r="U118" s="565"/>
      <c r="V118" s="568">
        <v>102427.21</v>
      </c>
      <c r="W118" s="636"/>
      <c r="X118" s="117">
        <v>14</v>
      </c>
    </row>
    <row r="119" spans="1:24" s="2" customFormat="1" x14ac:dyDescent="0.25">
      <c r="A119" s="586"/>
      <c r="B119" s="583"/>
      <c r="C119" s="583"/>
      <c r="D119" s="583"/>
      <c r="E119" s="583"/>
      <c r="F119" s="563"/>
      <c r="G119" s="640"/>
      <c r="H119" s="566"/>
      <c r="I119" s="619"/>
      <c r="J119" s="622"/>
      <c r="K119" s="625"/>
      <c r="L119" s="583"/>
      <c r="M119" s="583"/>
      <c r="N119" s="191">
        <v>44260</v>
      </c>
      <c r="O119" s="563"/>
      <c r="P119" s="186">
        <v>32090.880000000001</v>
      </c>
      <c r="Q119" s="187">
        <v>44306</v>
      </c>
      <c r="R119" s="195"/>
      <c r="S119" s="186"/>
      <c r="T119" s="186"/>
      <c r="U119" s="566"/>
      <c r="V119" s="569"/>
      <c r="W119" s="637"/>
      <c r="X119" s="2">
        <v>14</v>
      </c>
    </row>
    <row r="120" spans="1:24" s="2" customFormat="1" x14ac:dyDescent="0.25">
      <c r="A120" s="586"/>
      <c r="B120" s="583"/>
      <c r="C120" s="583"/>
      <c r="D120" s="583"/>
      <c r="E120" s="583"/>
      <c r="F120" s="563"/>
      <c r="G120" s="640"/>
      <c r="H120" s="566"/>
      <c r="I120" s="619"/>
      <c r="J120" s="622"/>
      <c r="K120" s="625"/>
      <c r="L120" s="583"/>
      <c r="M120" s="583"/>
      <c r="N120" s="191">
        <v>44286</v>
      </c>
      <c r="O120" s="563"/>
      <c r="P120" s="186">
        <v>1310.49</v>
      </c>
      <c r="Q120" s="187">
        <v>44306</v>
      </c>
      <c r="R120" s="195"/>
      <c r="S120" s="186"/>
      <c r="T120" s="186"/>
      <c r="U120" s="566"/>
      <c r="V120" s="569"/>
      <c r="W120" s="637"/>
      <c r="X120" s="2">
        <v>14</v>
      </c>
    </row>
    <row r="121" spans="1:24" s="2" customFormat="1" x14ac:dyDescent="0.25">
      <c r="A121" s="586"/>
      <c r="B121" s="583"/>
      <c r="C121" s="583"/>
      <c r="D121" s="583"/>
      <c r="E121" s="583"/>
      <c r="F121" s="563"/>
      <c r="G121" s="640"/>
      <c r="H121" s="566"/>
      <c r="I121" s="619"/>
      <c r="J121" s="622"/>
      <c r="K121" s="625"/>
      <c r="L121" s="583"/>
      <c r="M121" s="583"/>
      <c r="N121" s="191">
        <v>44286</v>
      </c>
      <c r="O121" s="563"/>
      <c r="P121" s="186">
        <v>20530.62</v>
      </c>
      <c r="Q121" s="187">
        <v>44306</v>
      </c>
      <c r="R121" s="195"/>
      <c r="S121" s="186"/>
      <c r="T121" s="186"/>
      <c r="U121" s="566"/>
      <c r="V121" s="569"/>
      <c r="W121" s="637"/>
      <c r="X121" s="2">
        <v>14</v>
      </c>
    </row>
    <row r="122" spans="1:24" s="2" customFormat="1" x14ac:dyDescent="0.25">
      <c r="A122" s="586"/>
      <c r="B122" s="583"/>
      <c r="C122" s="583"/>
      <c r="D122" s="583"/>
      <c r="E122" s="583"/>
      <c r="F122" s="563"/>
      <c r="G122" s="640"/>
      <c r="H122" s="566"/>
      <c r="I122" s="619"/>
      <c r="J122" s="622"/>
      <c r="K122" s="625"/>
      <c r="L122" s="583"/>
      <c r="M122" s="583"/>
      <c r="N122" s="191">
        <v>44274</v>
      </c>
      <c r="O122" s="563"/>
      <c r="P122" s="186">
        <v>3419.97</v>
      </c>
      <c r="Q122" s="187">
        <v>44307</v>
      </c>
      <c r="R122" s="195"/>
      <c r="S122" s="186"/>
      <c r="T122" s="186"/>
      <c r="U122" s="566"/>
      <c r="V122" s="569"/>
      <c r="W122" s="637"/>
      <c r="X122" s="2">
        <v>14</v>
      </c>
    </row>
    <row r="123" spans="1:24" s="2" customFormat="1" x14ac:dyDescent="0.25">
      <c r="A123" s="586"/>
      <c r="B123" s="583"/>
      <c r="C123" s="583"/>
      <c r="D123" s="583"/>
      <c r="E123" s="583"/>
      <c r="F123" s="563"/>
      <c r="G123" s="640"/>
      <c r="H123" s="566"/>
      <c r="I123" s="619"/>
      <c r="J123" s="622"/>
      <c r="K123" s="625"/>
      <c r="L123" s="583"/>
      <c r="M123" s="583"/>
      <c r="N123" s="191">
        <v>44274</v>
      </c>
      <c r="O123" s="563"/>
      <c r="P123" s="186">
        <v>53578.37</v>
      </c>
      <c r="Q123" s="187">
        <v>44307</v>
      </c>
      <c r="R123" s="195"/>
      <c r="S123" s="186"/>
      <c r="T123" s="186"/>
      <c r="U123" s="566"/>
      <c r="V123" s="569"/>
      <c r="W123" s="637"/>
      <c r="X123" s="2">
        <v>14</v>
      </c>
    </row>
    <row r="124" spans="1:24" s="2" customFormat="1" x14ac:dyDescent="0.25">
      <c r="A124" s="586"/>
      <c r="B124" s="583"/>
      <c r="C124" s="583"/>
      <c r="D124" s="583"/>
      <c r="E124" s="583"/>
      <c r="F124" s="563"/>
      <c r="G124" s="640"/>
      <c r="H124" s="566"/>
      <c r="I124" s="619"/>
      <c r="J124" s="622"/>
      <c r="K124" s="625"/>
      <c r="L124" s="583"/>
      <c r="M124" s="583"/>
      <c r="N124" s="191">
        <v>44295</v>
      </c>
      <c r="O124" s="563"/>
      <c r="P124" s="186">
        <v>2969.03</v>
      </c>
      <c r="Q124" s="187">
        <v>44335</v>
      </c>
      <c r="R124" s="195"/>
      <c r="S124" s="186"/>
      <c r="T124" s="186"/>
      <c r="U124" s="566"/>
      <c r="V124" s="569"/>
      <c r="W124" s="637"/>
      <c r="X124" s="2">
        <v>14</v>
      </c>
    </row>
    <row r="125" spans="1:24" s="2" customFormat="1" x14ac:dyDescent="0.25">
      <c r="A125" s="586"/>
      <c r="B125" s="583"/>
      <c r="C125" s="583"/>
      <c r="D125" s="583"/>
      <c r="E125" s="583"/>
      <c r="F125" s="563"/>
      <c r="G125" s="640"/>
      <c r="H125" s="566"/>
      <c r="I125" s="619"/>
      <c r="J125" s="622"/>
      <c r="K125" s="625"/>
      <c r="L125" s="583"/>
      <c r="M125" s="583"/>
      <c r="N125" s="191">
        <v>44295</v>
      </c>
      <c r="O125" s="563"/>
      <c r="P125" s="186">
        <v>46513.81</v>
      </c>
      <c r="Q125" s="187">
        <v>44335</v>
      </c>
      <c r="R125" s="195"/>
      <c r="S125" s="186"/>
      <c r="T125" s="186"/>
      <c r="U125" s="566"/>
      <c r="V125" s="569"/>
      <c r="W125" s="637"/>
      <c r="X125" s="2">
        <v>14</v>
      </c>
    </row>
    <row r="126" spans="1:24" s="2" customFormat="1" x14ac:dyDescent="0.25">
      <c r="A126" s="586"/>
      <c r="B126" s="583"/>
      <c r="C126" s="583"/>
      <c r="D126" s="583"/>
      <c r="E126" s="583"/>
      <c r="F126" s="563"/>
      <c r="G126" s="640"/>
      <c r="H126" s="566"/>
      <c r="I126" s="619"/>
      <c r="J126" s="622"/>
      <c r="K126" s="625"/>
      <c r="L126" s="583"/>
      <c r="M126" s="583"/>
      <c r="N126" s="191">
        <v>44309</v>
      </c>
      <c r="O126" s="563"/>
      <c r="P126" s="186">
        <v>4256.7</v>
      </c>
      <c r="Q126" s="187">
        <v>44335</v>
      </c>
      <c r="R126" s="195"/>
      <c r="S126" s="186"/>
      <c r="T126" s="186"/>
      <c r="U126" s="566"/>
      <c r="V126" s="569"/>
      <c r="W126" s="637"/>
      <c r="X126" s="2">
        <v>14</v>
      </c>
    </row>
    <row r="127" spans="1:24" s="2" customFormat="1" x14ac:dyDescent="0.25">
      <c r="A127" s="586"/>
      <c r="B127" s="583"/>
      <c r="C127" s="583"/>
      <c r="D127" s="583"/>
      <c r="E127" s="583"/>
      <c r="F127" s="563"/>
      <c r="G127" s="640"/>
      <c r="H127" s="566"/>
      <c r="I127" s="619"/>
      <c r="J127" s="622"/>
      <c r="K127" s="625"/>
      <c r="L127" s="583"/>
      <c r="M127" s="583"/>
      <c r="N127" s="191">
        <v>44309</v>
      </c>
      <c r="O127" s="563"/>
      <c r="P127" s="186">
        <v>66686.94</v>
      </c>
      <c r="Q127" s="187">
        <v>44335</v>
      </c>
      <c r="R127" s="195"/>
      <c r="S127" s="186"/>
      <c r="T127" s="186"/>
      <c r="U127" s="566"/>
      <c r="V127" s="569"/>
      <c r="W127" s="637"/>
      <c r="X127" s="2">
        <v>14</v>
      </c>
    </row>
    <row r="128" spans="1:24" s="2" customFormat="1" x14ac:dyDescent="0.25">
      <c r="A128" s="586"/>
      <c r="B128" s="583"/>
      <c r="C128" s="583"/>
      <c r="D128" s="583"/>
      <c r="E128" s="583"/>
      <c r="F128" s="563"/>
      <c r="G128" s="640"/>
      <c r="H128" s="566"/>
      <c r="I128" s="619"/>
      <c r="J128" s="622"/>
      <c r="K128" s="625"/>
      <c r="L128" s="583"/>
      <c r="M128" s="583"/>
      <c r="N128" s="191">
        <v>44316</v>
      </c>
      <c r="O128" s="563"/>
      <c r="P128" s="186">
        <v>2181.7600000000002</v>
      </c>
      <c r="Q128" s="187">
        <v>44335</v>
      </c>
      <c r="R128" s="195"/>
      <c r="S128" s="186"/>
      <c r="T128" s="186"/>
      <c r="U128" s="566"/>
      <c r="V128" s="569"/>
      <c r="W128" s="637"/>
      <c r="X128" s="2">
        <v>14</v>
      </c>
    </row>
    <row r="129" spans="1:24" s="2" customFormat="1" x14ac:dyDescent="0.25">
      <c r="A129" s="586"/>
      <c r="B129" s="583"/>
      <c r="C129" s="583"/>
      <c r="D129" s="583"/>
      <c r="E129" s="583"/>
      <c r="F129" s="563"/>
      <c r="G129" s="640"/>
      <c r="H129" s="566"/>
      <c r="I129" s="619"/>
      <c r="J129" s="622"/>
      <c r="K129" s="625"/>
      <c r="L129" s="583"/>
      <c r="M129" s="583"/>
      <c r="N129" s="191">
        <v>44316</v>
      </c>
      <c r="O129" s="563"/>
      <c r="P129" s="186">
        <v>34180.199999999997</v>
      </c>
      <c r="Q129" s="187">
        <v>44335</v>
      </c>
      <c r="R129" s="195"/>
      <c r="S129" s="186"/>
      <c r="T129" s="186"/>
      <c r="U129" s="566"/>
      <c r="V129" s="569"/>
      <c r="W129" s="637"/>
      <c r="X129" s="2">
        <v>14</v>
      </c>
    </row>
    <row r="130" spans="1:24" s="2" customFormat="1" x14ac:dyDescent="0.25">
      <c r="A130" s="586"/>
      <c r="B130" s="583"/>
      <c r="C130" s="583"/>
      <c r="D130" s="583"/>
      <c r="E130" s="583"/>
      <c r="F130" s="563"/>
      <c r="G130" s="640"/>
      <c r="H130" s="566"/>
      <c r="I130" s="619"/>
      <c r="J130" s="622"/>
      <c r="K130" s="625"/>
      <c r="L130" s="583"/>
      <c r="M130" s="583"/>
      <c r="N130" s="191">
        <v>44330</v>
      </c>
      <c r="O130" s="563"/>
      <c r="P130" s="186">
        <v>19842.87</v>
      </c>
      <c r="Q130" s="187">
        <v>44342</v>
      </c>
      <c r="R130" s="195"/>
      <c r="S130" s="186"/>
      <c r="T130" s="186"/>
      <c r="U130" s="566"/>
      <c r="V130" s="569"/>
      <c r="W130" s="637"/>
      <c r="X130" s="2">
        <v>14</v>
      </c>
    </row>
    <row r="131" spans="1:24" s="2" customFormat="1" x14ac:dyDescent="0.25">
      <c r="A131" s="586"/>
      <c r="B131" s="583"/>
      <c r="C131" s="583"/>
      <c r="D131" s="583"/>
      <c r="E131" s="583"/>
      <c r="F131" s="563"/>
      <c r="G131" s="640"/>
      <c r="H131" s="566"/>
      <c r="I131" s="619"/>
      <c r="J131" s="622"/>
      <c r="K131" s="625"/>
      <c r="L131" s="583"/>
      <c r="M131" s="583"/>
      <c r="N131" s="191">
        <v>44330</v>
      </c>
      <c r="O131" s="563"/>
      <c r="P131" s="186">
        <v>1266.5899999999999</v>
      </c>
      <c r="Q131" s="187">
        <v>44342</v>
      </c>
      <c r="R131" s="195"/>
      <c r="S131" s="186"/>
      <c r="T131" s="186"/>
      <c r="U131" s="566"/>
      <c r="V131" s="569"/>
      <c r="W131" s="637"/>
      <c r="X131" s="2">
        <v>14</v>
      </c>
    </row>
    <row r="132" spans="1:24" s="2" customFormat="1" x14ac:dyDescent="0.25">
      <c r="A132" s="586"/>
      <c r="B132" s="583"/>
      <c r="C132" s="583"/>
      <c r="D132" s="583"/>
      <c r="E132" s="583"/>
      <c r="F132" s="563"/>
      <c r="G132" s="640"/>
      <c r="H132" s="566"/>
      <c r="I132" s="619"/>
      <c r="J132" s="622"/>
      <c r="K132" s="625"/>
      <c r="L132" s="583"/>
      <c r="M132" s="583"/>
      <c r="N132" s="191">
        <v>44337</v>
      </c>
      <c r="O132" s="563"/>
      <c r="P132" s="186">
        <v>1903.17</v>
      </c>
      <c r="Q132" s="187">
        <v>44344</v>
      </c>
      <c r="R132" s="195"/>
      <c r="S132" s="186"/>
      <c r="T132" s="186"/>
      <c r="U132" s="566"/>
      <c r="V132" s="569"/>
      <c r="W132" s="637"/>
      <c r="X132" s="2">
        <v>14</v>
      </c>
    </row>
    <row r="133" spans="1:24" s="2" customFormat="1" x14ac:dyDescent="0.25">
      <c r="A133" s="587"/>
      <c r="B133" s="584"/>
      <c r="C133" s="584"/>
      <c r="D133" s="584"/>
      <c r="E133" s="584"/>
      <c r="F133" s="564"/>
      <c r="G133" s="641"/>
      <c r="H133" s="567"/>
      <c r="I133" s="620"/>
      <c r="J133" s="623"/>
      <c r="K133" s="626"/>
      <c r="L133" s="584"/>
      <c r="M133" s="584"/>
      <c r="N133" s="192">
        <v>44344</v>
      </c>
      <c r="O133" s="564"/>
      <c r="P133" s="188">
        <v>29815.77</v>
      </c>
      <c r="Q133" s="189">
        <v>44344</v>
      </c>
      <c r="R133" s="194"/>
      <c r="S133" s="188"/>
      <c r="T133" s="188"/>
      <c r="U133" s="567"/>
      <c r="V133" s="570"/>
      <c r="W133" s="638"/>
      <c r="X133" s="2">
        <v>14</v>
      </c>
    </row>
    <row r="134" spans="1:24" s="117" customFormat="1" ht="150" customHeight="1" x14ac:dyDescent="0.25">
      <c r="A134" s="538">
        <v>15</v>
      </c>
      <c r="B134" s="470" t="s">
        <v>56</v>
      </c>
      <c r="C134" s="470" t="s">
        <v>146</v>
      </c>
      <c r="D134" s="470" t="s">
        <v>243</v>
      </c>
      <c r="E134" s="470" t="s">
        <v>192</v>
      </c>
      <c r="F134" s="476">
        <v>44256</v>
      </c>
      <c r="G134" s="473" t="s">
        <v>273</v>
      </c>
      <c r="H134" s="479">
        <v>127300</v>
      </c>
      <c r="I134" s="482">
        <f>IF(X134 = 15, H134 + SUM(S134:S136) - SUM(T134:T136) - SUM(P134:P136) - V134,0)</f>
        <v>0</v>
      </c>
      <c r="J134" s="576">
        <v>2353020735</v>
      </c>
      <c r="K134" s="579" t="s">
        <v>274</v>
      </c>
      <c r="L134" s="470" t="s">
        <v>146</v>
      </c>
      <c r="M134" s="470"/>
      <c r="N134" s="229">
        <v>44286</v>
      </c>
      <c r="O134" s="476" t="s">
        <v>63</v>
      </c>
      <c r="P134" s="213">
        <v>36670</v>
      </c>
      <c r="Q134" s="214">
        <v>44299</v>
      </c>
      <c r="R134" s="215"/>
      <c r="S134" s="213"/>
      <c r="T134" s="213"/>
      <c r="U134" s="479"/>
      <c r="V134" s="556">
        <v>23731</v>
      </c>
      <c r="W134" s="467"/>
      <c r="X134" s="117">
        <v>15</v>
      </c>
    </row>
    <row r="135" spans="1:24" s="2" customFormat="1" x14ac:dyDescent="0.25">
      <c r="A135" s="539"/>
      <c r="B135" s="471"/>
      <c r="C135" s="471"/>
      <c r="D135" s="471"/>
      <c r="E135" s="471"/>
      <c r="F135" s="477"/>
      <c r="G135" s="474"/>
      <c r="H135" s="480"/>
      <c r="I135" s="483"/>
      <c r="J135" s="577"/>
      <c r="K135" s="580"/>
      <c r="L135" s="471"/>
      <c r="M135" s="471"/>
      <c r="N135" s="230">
        <v>44316</v>
      </c>
      <c r="O135" s="477"/>
      <c r="P135" s="216">
        <v>49666</v>
      </c>
      <c r="Q135" s="217">
        <v>44335</v>
      </c>
      <c r="R135" s="218"/>
      <c r="S135" s="216"/>
      <c r="T135" s="216"/>
      <c r="U135" s="480"/>
      <c r="V135" s="557"/>
      <c r="W135" s="468"/>
      <c r="X135" s="2">
        <v>15</v>
      </c>
    </row>
    <row r="136" spans="1:24" s="2" customFormat="1" x14ac:dyDescent="0.25">
      <c r="A136" s="540"/>
      <c r="B136" s="472"/>
      <c r="C136" s="472"/>
      <c r="D136" s="472"/>
      <c r="E136" s="472"/>
      <c r="F136" s="478"/>
      <c r="G136" s="475"/>
      <c r="H136" s="481"/>
      <c r="I136" s="484"/>
      <c r="J136" s="578"/>
      <c r="K136" s="581"/>
      <c r="L136" s="472"/>
      <c r="M136" s="472"/>
      <c r="N136" s="231">
        <v>44337</v>
      </c>
      <c r="O136" s="478"/>
      <c r="P136" s="224">
        <v>17233</v>
      </c>
      <c r="Q136" s="225">
        <v>44354</v>
      </c>
      <c r="R136" s="226"/>
      <c r="S136" s="224"/>
      <c r="T136" s="224"/>
      <c r="U136" s="481"/>
      <c r="V136" s="558"/>
      <c r="W136" s="469"/>
      <c r="X136" s="2">
        <v>15</v>
      </c>
    </row>
    <row r="137" spans="1:24" s="117" customFormat="1" ht="131.25" customHeight="1" x14ac:dyDescent="0.25">
      <c r="A137" s="536">
        <v>16</v>
      </c>
      <c r="B137" s="522" t="s">
        <v>56</v>
      </c>
      <c r="C137" s="522" t="s">
        <v>278</v>
      </c>
      <c r="D137" s="522" t="s">
        <v>243</v>
      </c>
      <c r="E137" s="522" t="s">
        <v>134</v>
      </c>
      <c r="F137" s="526">
        <v>44285</v>
      </c>
      <c r="G137" s="524" t="s">
        <v>279</v>
      </c>
      <c r="H137" s="528">
        <v>341316</v>
      </c>
      <c r="I137" s="530">
        <f>IF(X137 = 16, H137 + SUM(S137:S139) - SUM(T137:T139) - SUM(P137:P139) - V137,0)</f>
        <v>-1.4551915228366852E-11</v>
      </c>
      <c r="J137" s="612">
        <v>7743529527</v>
      </c>
      <c r="K137" s="615" t="s">
        <v>280</v>
      </c>
      <c r="L137" s="522" t="s">
        <v>146</v>
      </c>
      <c r="M137" s="522"/>
      <c r="N137" s="245">
        <v>44316</v>
      </c>
      <c r="O137" s="526" t="s">
        <v>63</v>
      </c>
      <c r="P137" s="236">
        <v>128717</v>
      </c>
      <c r="Q137" s="237">
        <v>44337</v>
      </c>
      <c r="R137" s="238"/>
      <c r="S137" s="236"/>
      <c r="T137" s="236"/>
      <c r="U137" s="528"/>
      <c r="V137" s="605">
        <v>89100.55</v>
      </c>
      <c r="W137" s="520"/>
      <c r="X137" s="117">
        <v>16</v>
      </c>
    </row>
    <row r="138" spans="1:24" s="2" customFormat="1" x14ac:dyDescent="0.25">
      <c r="A138" s="571"/>
      <c r="B138" s="575"/>
      <c r="C138" s="575"/>
      <c r="D138" s="575"/>
      <c r="E138" s="575"/>
      <c r="F138" s="609"/>
      <c r="G138" s="610"/>
      <c r="H138" s="604"/>
      <c r="I138" s="611"/>
      <c r="J138" s="613"/>
      <c r="K138" s="616"/>
      <c r="L138" s="575"/>
      <c r="M138" s="575"/>
      <c r="N138" s="246">
        <v>44347</v>
      </c>
      <c r="O138" s="609"/>
      <c r="P138" s="239">
        <v>71679.5</v>
      </c>
      <c r="Q138" s="240">
        <v>44379</v>
      </c>
      <c r="R138" s="241"/>
      <c r="S138" s="239"/>
      <c r="T138" s="239"/>
      <c r="U138" s="604"/>
      <c r="V138" s="606"/>
      <c r="W138" s="608"/>
      <c r="X138" s="2">
        <v>16</v>
      </c>
    </row>
    <row r="139" spans="1:24" s="2" customFormat="1" x14ac:dyDescent="0.25">
      <c r="A139" s="537"/>
      <c r="B139" s="523"/>
      <c r="C139" s="523"/>
      <c r="D139" s="523"/>
      <c r="E139" s="523"/>
      <c r="F139" s="527"/>
      <c r="G139" s="525"/>
      <c r="H139" s="529"/>
      <c r="I139" s="531"/>
      <c r="J139" s="614"/>
      <c r="K139" s="617"/>
      <c r="L139" s="523"/>
      <c r="M139" s="523"/>
      <c r="N139" s="247">
        <v>44377</v>
      </c>
      <c r="O139" s="527"/>
      <c r="P139" s="242">
        <v>51818.95</v>
      </c>
      <c r="Q139" s="243">
        <v>44396</v>
      </c>
      <c r="R139" s="244"/>
      <c r="S139" s="242"/>
      <c r="T139" s="242"/>
      <c r="U139" s="529"/>
      <c r="V139" s="607"/>
      <c r="W139" s="521"/>
      <c r="X139" s="2">
        <v>16</v>
      </c>
    </row>
    <row r="140" spans="1:24" s="117" customFormat="1" ht="131.25" x14ac:dyDescent="0.25">
      <c r="A140" s="199">
        <v>17</v>
      </c>
      <c r="B140" s="167" t="s">
        <v>56</v>
      </c>
      <c r="C140" s="200" t="s">
        <v>146</v>
      </c>
      <c r="D140" s="200" t="s">
        <v>301</v>
      </c>
      <c r="E140" s="200" t="s">
        <v>302</v>
      </c>
      <c r="F140" s="206">
        <v>44354</v>
      </c>
      <c r="G140" s="204" t="s">
        <v>303</v>
      </c>
      <c r="H140" s="202">
        <v>3200</v>
      </c>
      <c r="I140" s="203">
        <f>IF(X140 = 17, H140 + SUM(S140:S140) - SUM(T140:T140) - SUM(P140:P140) - V140,0)</f>
        <v>0</v>
      </c>
      <c r="J140" s="207">
        <v>2310136750</v>
      </c>
      <c r="K140" s="208" t="s">
        <v>304</v>
      </c>
      <c r="L140" s="200" t="s">
        <v>146</v>
      </c>
      <c r="M140" s="200" t="s">
        <v>305</v>
      </c>
      <c r="N140" s="206">
        <v>44402</v>
      </c>
      <c r="O140" s="196" t="s">
        <v>63</v>
      </c>
      <c r="P140" s="202">
        <v>3200</v>
      </c>
      <c r="Q140" s="204">
        <v>44439</v>
      </c>
      <c r="R140" s="200"/>
      <c r="S140" s="202"/>
      <c r="T140" s="202"/>
      <c r="U140" s="202"/>
      <c r="V140" s="209"/>
      <c r="W140" s="198"/>
      <c r="X140" s="117">
        <v>17</v>
      </c>
    </row>
    <row r="141" spans="1:24" s="117" customFormat="1" ht="131.25" x14ac:dyDescent="0.25">
      <c r="A141" s="199">
        <v>18</v>
      </c>
      <c r="B141" s="167" t="s">
        <v>56</v>
      </c>
      <c r="C141" s="200" t="s">
        <v>146</v>
      </c>
      <c r="D141" s="200" t="s">
        <v>301</v>
      </c>
      <c r="E141" s="200" t="s">
        <v>114</v>
      </c>
      <c r="F141" s="206">
        <v>44368</v>
      </c>
      <c r="G141" s="204" t="s">
        <v>306</v>
      </c>
      <c r="H141" s="202">
        <v>78030.399999999994</v>
      </c>
      <c r="I141" s="203">
        <f>IF(X141 = 18, H141 + SUM(S141:S141) - SUM(T141:T141) - SUM(P141:P141) - V141,0)</f>
        <v>0</v>
      </c>
      <c r="J141" s="207">
        <v>23530020735</v>
      </c>
      <c r="K141" s="208" t="s">
        <v>274</v>
      </c>
      <c r="L141" s="200" t="s">
        <v>146</v>
      </c>
      <c r="M141" s="200" t="s">
        <v>307</v>
      </c>
      <c r="N141" s="206">
        <v>44395</v>
      </c>
      <c r="O141" s="196" t="s">
        <v>63</v>
      </c>
      <c r="P141" s="202">
        <v>78030.399999999994</v>
      </c>
      <c r="Q141" s="204">
        <v>44407</v>
      </c>
      <c r="R141" s="200"/>
      <c r="S141" s="202"/>
      <c r="T141" s="202"/>
      <c r="U141" s="202"/>
      <c r="V141" s="209"/>
      <c r="W141" s="198"/>
      <c r="X141" s="117">
        <v>18</v>
      </c>
    </row>
    <row r="142" spans="1:24" s="117" customFormat="1" ht="131.25" x14ac:dyDescent="0.25">
      <c r="A142" s="199">
        <v>19</v>
      </c>
      <c r="B142" s="200" t="s">
        <v>56</v>
      </c>
      <c r="C142" s="200" t="s">
        <v>146</v>
      </c>
      <c r="D142" s="200" t="s">
        <v>243</v>
      </c>
      <c r="E142" s="200" t="s">
        <v>311</v>
      </c>
      <c r="F142" s="235">
        <v>44370</v>
      </c>
      <c r="G142" s="204" t="s">
        <v>312</v>
      </c>
      <c r="H142" s="202">
        <v>35621.01</v>
      </c>
      <c r="I142" s="203">
        <f>IF(X142 = 19, H142 + SUM(S142:S142) - SUM(T142:T142) - SUM(P142:P142) - V142,0)</f>
        <v>0</v>
      </c>
      <c r="J142" s="207">
        <v>2312068671</v>
      </c>
      <c r="K142" s="208" t="s">
        <v>300</v>
      </c>
      <c r="L142" s="200" t="s">
        <v>146</v>
      </c>
      <c r="M142" s="200" t="s">
        <v>313</v>
      </c>
      <c r="N142" s="235">
        <v>44378</v>
      </c>
      <c r="O142" s="196" t="s">
        <v>63</v>
      </c>
      <c r="P142" s="202">
        <v>35621.01</v>
      </c>
      <c r="Q142" s="204">
        <v>44378</v>
      </c>
      <c r="R142" s="200"/>
      <c r="S142" s="202"/>
      <c r="T142" s="202"/>
      <c r="U142" s="202"/>
      <c r="V142" s="209"/>
      <c r="W142" s="211"/>
      <c r="X142" s="117">
        <v>19</v>
      </c>
    </row>
    <row r="143" spans="1:24" s="117" customFormat="1" ht="131.25" customHeight="1" x14ac:dyDescent="0.25">
      <c r="A143" s="705">
        <v>20</v>
      </c>
      <c r="B143" s="707" t="s">
        <v>56</v>
      </c>
      <c r="C143" s="707" t="s">
        <v>146</v>
      </c>
      <c r="D143" s="707" t="s">
        <v>318</v>
      </c>
      <c r="E143" s="707" t="s">
        <v>319</v>
      </c>
      <c r="F143" s="744">
        <v>44377</v>
      </c>
      <c r="G143" s="708" t="s">
        <v>320</v>
      </c>
      <c r="H143" s="709">
        <v>353280</v>
      </c>
      <c r="I143" s="710">
        <f>IF(X143 = 20, H143 + SUM(S143:S146) - SUM(T143:T146) - SUM(P143:P146) - V143,0)</f>
        <v>117120</v>
      </c>
      <c r="J143" s="711">
        <v>2304067057</v>
      </c>
      <c r="K143" s="712" t="s">
        <v>321</v>
      </c>
      <c r="L143" s="707" t="s">
        <v>146</v>
      </c>
      <c r="M143" s="707" t="s">
        <v>322</v>
      </c>
      <c r="N143" s="747">
        <v>44408</v>
      </c>
      <c r="O143" s="744" t="s">
        <v>63</v>
      </c>
      <c r="P143" s="713">
        <v>59520</v>
      </c>
      <c r="Q143" s="714">
        <v>44413</v>
      </c>
      <c r="R143" s="715"/>
      <c r="S143" s="713"/>
      <c r="T143" s="713"/>
      <c r="U143" s="709"/>
      <c r="V143" s="716"/>
      <c r="W143" s="717"/>
      <c r="X143" s="117">
        <v>20</v>
      </c>
    </row>
    <row r="144" spans="1:24" s="2" customFormat="1" x14ac:dyDescent="0.25">
      <c r="A144" s="718"/>
      <c r="B144" s="720"/>
      <c r="C144" s="720"/>
      <c r="D144" s="720"/>
      <c r="E144" s="720"/>
      <c r="F144" s="745"/>
      <c r="G144" s="721"/>
      <c r="H144" s="722"/>
      <c r="I144" s="723"/>
      <c r="J144" s="724"/>
      <c r="K144" s="725"/>
      <c r="L144" s="720"/>
      <c r="M144" s="720"/>
      <c r="N144" s="748">
        <v>44439</v>
      </c>
      <c r="O144" s="745"/>
      <c r="P144" s="726">
        <v>59520</v>
      </c>
      <c r="Q144" s="727">
        <v>44439</v>
      </c>
      <c r="R144" s="728"/>
      <c r="S144" s="726"/>
      <c r="T144" s="726"/>
      <c r="U144" s="722"/>
      <c r="V144" s="729"/>
      <c r="W144" s="730"/>
      <c r="X144" s="2">
        <v>20</v>
      </c>
    </row>
    <row r="145" spans="1:24" s="2" customFormat="1" x14ac:dyDescent="0.25">
      <c r="A145" s="718"/>
      <c r="B145" s="720"/>
      <c r="C145" s="720"/>
      <c r="D145" s="720"/>
      <c r="E145" s="720"/>
      <c r="F145" s="745"/>
      <c r="G145" s="721"/>
      <c r="H145" s="722"/>
      <c r="I145" s="723"/>
      <c r="J145" s="724"/>
      <c r="K145" s="725"/>
      <c r="L145" s="720"/>
      <c r="M145" s="720"/>
      <c r="N145" s="748">
        <v>44469</v>
      </c>
      <c r="O145" s="745"/>
      <c r="P145" s="726">
        <v>57600</v>
      </c>
      <c r="Q145" s="727">
        <v>44480</v>
      </c>
      <c r="R145" s="728"/>
      <c r="S145" s="726"/>
      <c r="T145" s="726"/>
      <c r="U145" s="722"/>
      <c r="V145" s="729"/>
      <c r="W145" s="730"/>
      <c r="X145" s="2">
        <v>20</v>
      </c>
    </row>
    <row r="146" spans="1:24" s="2" customFormat="1" x14ac:dyDescent="0.25">
      <c r="A146" s="731"/>
      <c r="B146" s="733"/>
      <c r="C146" s="733"/>
      <c r="D146" s="733"/>
      <c r="E146" s="733"/>
      <c r="F146" s="746"/>
      <c r="G146" s="734"/>
      <c r="H146" s="735"/>
      <c r="I146" s="736"/>
      <c r="J146" s="737"/>
      <c r="K146" s="738"/>
      <c r="L146" s="733"/>
      <c r="M146" s="733"/>
      <c r="N146" s="749">
        <v>44500</v>
      </c>
      <c r="O146" s="746"/>
      <c r="P146" s="739">
        <v>59520</v>
      </c>
      <c r="Q146" s="740">
        <v>44510</v>
      </c>
      <c r="R146" s="741"/>
      <c r="S146" s="739"/>
      <c r="T146" s="739"/>
      <c r="U146" s="735"/>
      <c r="V146" s="742"/>
      <c r="W146" s="743"/>
      <c r="X146" s="2">
        <v>20</v>
      </c>
    </row>
    <row r="147" spans="1:24" s="117" customFormat="1" ht="131.25" x14ac:dyDescent="0.25">
      <c r="A147" s="219">
        <v>21</v>
      </c>
      <c r="B147" s="200" t="s">
        <v>56</v>
      </c>
      <c r="C147" s="220" t="s">
        <v>146</v>
      </c>
      <c r="D147" s="220" t="s">
        <v>318</v>
      </c>
      <c r="E147" s="220" t="s">
        <v>323</v>
      </c>
      <c r="F147" s="248">
        <v>44382</v>
      </c>
      <c r="G147" s="221" t="s">
        <v>324</v>
      </c>
      <c r="H147" s="222">
        <v>12300</v>
      </c>
      <c r="I147" s="223">
        <f>IF(X147 = 21, H147 + SUM(S147:S147) - SUM(T147:T147) - SUM(P147:P147) - V147,0)</f>
        <v>0</v>
      </c>
      <c r="J147" s="232">
        <v>235307008564</v>
      </c>
      <c r="K147" s="233" t="s">
        <v>325</v>
      </c>
      <c r="L147" s="220" t="s">
        <v>146</v>
      </c>
      <c r="M147" s="220"/>
      <c r="N147" s="248">
        <v>44382</v>
      </c>
      <c r="O147" s="196" t="s">
        <v>63</v>
      </c>
      <c r="P147" s="222">
        <v>12300</v>
      </c>
      <c r="Q147" s="221">
        <v>44389</v>
      </c>
      <c r="R147" s="220"/>
      <c r="S147" s="222"/>
      <c r="T147" s="222"/>
      <c r="U147" s="222"/>
      <c r="V147" s="234"/>
      <c r="W147" s="228"/>
      <c r="X147" s="117">
        <v>21</v>
      </c>
    </row>
    <row r="148" spans="1:24" s="117" customFormat="1" ht="131.25" x14ac:dyDescent="0.25">
      <c r="A148" s="219">
        <v>22</v>
      </c>
      <c r="B148" s="200" t="s">
        <v>56</v>
      </c>
      <c r="C148" s="220" t="s">
        <v>146</v>
      </c>
      <c r="D148" s="220" t="s">
        <v>318</v>
      </c>
      <c r="E148" s="220" t="s">
        <v>326</v>
      </c>
      <c r="F148" s="248">
        <v>44372</v>
      </c>
      <c r="G148" s="221" t="s">
        <v>327</v>
      </c>
      <c r="H148" s="222">
        <v>34990</v>
      </c>
      <c r="I148" s="223">
        <f>IF(X148 = 22, H148 + SUM(S148:S148) - SUM(T148:T148) - SUM(P148:P148) - V148,0)</f>
        <v>0</v>
      </c>
      <c r="J148" s="232">
        <v>235305540660</v>
      </c>
      <c r="K148" s="233" t="s">
        <v>328</v>
      </c>
      <c r="L148" s="220" t="s">
        <v>146</v>
      </c>
      <c r="M148" s="220" t="s">
        <v>329</v>
      </c>
      <c r="N148" s="248">
        <v>44377</v>
      </c>
      <c r="O148" s="196" t="s">
        <v>63</v>
      </c>
      <c r="P148" s="222">
        <v>34990</v>
      </c>
      <c r="Q148" s="221">
        <v>44389</v>
      </c>
      <c r="R148" s="220"/>
      <c r="S148" s="222"/>
      <c r="T148" s="222"/>
      <c r="U148" s="222"/>
      <c r="V148" s="234"/>
      <c r="W148" s="228"/>
      <c r="X148" s="117">
        <v>22</v>
      </c>
    </row>
    <row r="149" spans="1:24" s="117" customFormat="1" ht="131.25" customHeight="1" x14ac:dyDescent="0.25">
      <c r="A149" s="418">
        <v>23</v>
      </c>
      <c r="B149" s="427" t="s">
        <v>56</v>
      </c>
      <c r="C149" s="427" t="s">
        <v>278</v>
      </c>
      <c r="D149" s="427" t="s">
        <v>318</v>
      </c>
      <c r="E149" s="427" t="s">
        <v>332</v>
      </c>
      <c r="F149" s="421">
        <v>44377</v>
      </c>
      <c r="G149" s="464" t="s">
        <v>333</v>
      </c>
      <c r="H149" s="424">
        <v>244400</v>
      </c>
      <c r="I149" s="436">
        <f>IF(X149 = 23, H149 + SUM(S149:S151) - SUM(T149:T151) - SUM(P149:P151) - V149,0)</f>
        <v>1.0913936421275139E-11</v>
      </c>
      <c r="J149" s="550">
        <v>2310195709</v>
      </c>
      <c r="K149" s="553" t="s">
        <v>207</v>
      </c>
      <c r="L149" s="427" t="s">
        <v>146</v>
      </c>
      <c r="M149" s="427" t="s">
        <v>359</v>
      </c>
      <c r="N149" s="350"/>
      <c r="O149" s="421" t="s">
        <v>63</v>
      </c>
      <c r="P149" s="341">
        <v>50118.239999999998</v>
      </c>
      <c r="Q149" s="342">
        <v>44427</v>
      </c>
      <c r="R149" s="343"/>
      <c r="S149" s="341"/>
      <c r="T149" s="341"/>
      <c r="U149" s="424"/>
      <c r="V149" s="547">
        <v>5755.23</v>
      </c>
      <c r="W149" s="433"/>
      <c r="X149" s="117">
        <v>23</v>
      </c>
    </row>
    <row r="150" spans="1:24" s="2" customFormat="1" x14ac:dyDescent="0.25">
      <c r="A150" s="419"/>
      <c r="B150" s="428"/>
      <c r="C150" s="428"/>
      <c r="D150" s="428"/>
      <c r="E150" s="428"/>
      <c r="F150" s="422"/>
      <c r="G150" s="465"/>
      <c r="H150" s="425"/>
      <c r="I150" s="437"/>
      <c r="J150" s="551"/>
      <c r="K150" s="554"/>
      <c r="L150" s="428"/>
      <c r="M150" s="428"/>
      <c r="N150" s="351"/>
      <c r="O150" s="422"/>
      <c r="P150" s="344">
        <v>34112.949999999997</v>
      </c>
      <c r="Q150" s="345">
        <v>44449</v>
      </c>
      <c r="R150" s="346"/>
      <c r="S150" s="344"/>
      <c r="T150" s="344"/>
      <c r="U150" s="425"/>
      <c r="V150" s="548"/>
      <c r="W150" s="434"/>
      <c r="X150" s="2">
        <v>23</v>
      </c>
    </row>
    <row r="151" spans="1:24" s="2" customFormat="1" x14ac:dyDescent="0.25">
      <c r="A151" s="420"/>
      <c r="B151" s="429"/>
      <c r="C151" s="429"/>
      <c r="D151" s="429"/>
      <c r="E151" s="429"/>
      <c r="F151" s="423"/>
      <c r="G151" s="466"/>
      <c r="H151" s="426"/>
      <c r="I151" s="438"/>
      <c r="J151" s="552"/>
      <c r="K151" s="555"/>
      <c r="L151" s="429"/>
      <c r="M151" s="429"/>
      <c r="N151" s="352"/>
      <c r="O151" s="423"/>
      <c r="P151" s="347">
        <v>154413.57999999999</v>
      </c>
      <c r="Q151" s="348">
        <v>44484</v>
      </c>
      <c r="R151" s="349"/>
      <c r="S151" s="347"/>
      <c r="T151" s="347"/>
      <c r="U151" s="426"/>
      <c r="V151" s="549"/>
      <c r="W151" s="435"/>
      <c r="X151" s="2">
        <v>23</v>
      </c>
    </row>
    <row r="152" spans="1:24" s="117" customFormat="1" ht="131.25" customHeight="1" x14ac:dyDescent="0.25">
      <c r="A152" s="759">
        <v>24</v>
      </c>
      <c r="B152" s="760" t="s">
        <v>56</v>
      </c>
      <c r="C152" s="760" t="s">
        <v>146</v>
      </c>
      <c r="D152" s="760" t="s">
        <v>147</v>
      </c>
      <c r="E152" s="760" t="s">
        <v>392</v>
      </c>
      <c r="F152" s="795">
        <v>44407</v>
      </c>
      <c r="G152" s="761" t="s">
        <v>393</v>
      </c>
      <c r="H152" s="762">
        <v>11370.35</v>
      </c>
      <c r="I152" s="763">
        <f>IF(X152 = 24, H152 + SUM(S152:S154) - SUM(T152:T154) - SUM(P152:P154) - V152,0)</f>
        <v>4548.1399999999994</v>
      </c>
      <c r="J152" s="764">
        <v>2310163739</v>
      </c>
      <c r="K152" s="765" t="s">
        <v>394</v>
      </c>
      <c r="L152" s="760" t="s">
        <v>146</v>
      </c>
      <c r="M152" s="760" t="s">
        <v>395</v>
      </c>
      <c r="N152" s="798" t="s">
        <v>396</v>
      </c>
      <c r="O152" s="795" t="s">
        <v>63</v>
      </c>
      <c r="P152" s="766">
        <v>2274.0700000000002</v>
      </c>
      <c r="Q152" s="767">
        <v>44480</v>
      </c>
      <c r="R152" s="768"/>
      <c r="S152" s="766"/>
      <c r="T152" s="766"/>
      <c r="U152" s="762"/>
      <c r="V152" s="769"/>
      <c r="W152" s="770"/>
      <c r="X152" s="117">
        <v>24</v>
      </c>
    </row>
    <row r="153" spans="1:24" s="2" customFormat="1" x14ac:dyDescent="0.25">
      <c r="A153" s="771"/>
      <c r="B153" s="772"/>
      <c r="C153" s="772"/>
      <c r="D153" s="772"/>
      <c r="E153" s="772"/>
      <c r="F153" s="796"/>
      <c r="G153" s="773"/>
      <c r="H153" s="774"/>
      <c r="I153" s="775"/>
      <c r="J153" s="776"/>
      <c r="K153" s="777"/>
      <c r="L153" s="772"/>
      <c r="M153" s="772"/>
      <c r="N153" s="799" t="s">
        <v>397</v>
      </c>
      <c r="O153" s="796"/>
      <c r="P153" s="778">
        <v>2274.0700000000002</v>
      </c>
      <c r="Q153" s="779">
        <v>44480</v>
      </c>
      <c r="R153" s="780"/>
      <c r="S153" s="778"/>
      <c r="T153" s="778"/>
      <c r="U153" s="774"/>
      <c r="V153" s="781"/>
      <c r="W153" s="782"/>
      <c r="X153" s="2">
        <v>24</v>
      </c>
    </row>
    <row r="154" spans="1:24" s="2" customFormat="1" x14ac:dyDescent="0.25">
      <c r="A154" s="783"/>
      <c r="B154" s="784"/>
      <c r="C154" s="784"/>
      <c r="D154" s="784"/>
      <c r="E154" s="784"/>
      <c r="F154" s="797"/>
      <c r="G154" s="785"/>
      <c r="H154" s="786"/>
      <c r="I154" s="787"/>
      <c r="J154" s="788"/>
      <c r="K154" s="789"/>
      <c r="L154" s="784"/>
      <c r="M154" s="784"/>
      <c r="N154" s="800" t="s">
        <v>421</v>
      </c>
      <c r="O154" s="797"/>
      <c r="P154" s="790">
        <v>2274.0700000000002</v>
      </c>
      <c r="Q154" s="791">
        <v>44511</v>
      </c>
      <c r="R154" s="792"/>
      <c r="S154" s="790"/>
      <c r="T154" s="790"/>
      <c r="U154" s="786"/>
      <c r="V154" s="793"/>
      <c r="W154" s="794"/>
      <c r="X154" s="2">
        <v>24</v>
      </c>
    </row>
    <row r="155" spans="1:24" s="117" customFormat="1" ht="131.25" x14ac:dyDescent="0.25">
      <c r="A155" s="357">
        <v>25</v>
      </c>
      <c r="B155" s="353" t="s">
        <v>56</v>
      </c>
      <c r="C155" s="353" t="s">
        <v>278</v>
      </c>
      <c r="D155" s="353" t="s">
        <v>147</v>
      </c>
      <c r="E155" s="353" t="s">
        <v>422</v>
      </c>
      <c r="F155" s="704">
        <v>44469</v>
      </c>
      <c r="G155" s="358" t="s">
        <v>333</v>
      </c>
      <c r="H155" s="355">
        <v>487760</v>
      </c>
      <c r="I155" s="356">
        <f>IF(X155 = 25, H155 + SUM(S155:S155) - SUM(T155:T155) - SUM(P155:P155) - V155,0)</f>
        <v>380493.27</v>
      </c>
      <c r="J155" s="362">
        <v>7743529527</v>
      </c>
      <c r="K155" s="363" t="s">
        <v>280</v>
      </c>
      <c r="L155" s="353" t="s">
        <v>146</v>
      </c>
      <c r="M155" s="353" t="s">
        <v>423</v>
      </c>
      <c r="N155" s="704" t="s">
        <v>421</v>
      </c>
      <c r="O155" s="704" t="s">
        <v>63</v>
      </c>
      <c r="P155" s="355">
        <v>107266.73</v>
      </c>
      <c r="Q155" s="358">
        <v>44522</v>
      </c>
      <c r="R155" s="353"/>
      <c r="S155" s="355"/>
      <c r="T155" s="355"/>
      <c r="U155" s="355"/>
      <c r="V155" s="364"/>
      <c r="W155" s="361"/>
      <c r="X155" s="117">
        <v>25</v>
      </c>
    </row>
    <row r="156" spans="1:24" s="117" customFormat="1" ht="131.25" x14ac:dyDescent="0.25">
      <c r="A156" s="357">
        <v>26</v>
      </c>
      <c r="B156" s="353" t="s">
        <v>56</v>
      </c>
      <c r="C156" s="353" t="s">
        <v>146</v>
      </c>
      <c r="D156" s="353" t="s">
        <v>147</v>
      </c>
      <c r="E156" s="353" t="s">
        <v>410</v>
      </c>
      <c r="F156" s="704">
        <v>44490</v>
      </c>
      <c r="G156" s="358" t="s">
        <v>424</v>
      </c>
      <c r="H156" s="355">
        <v>100043</v>
      </c>
      <c r="I156" s="356">
        <f>IF(X156 = 26, H156 + SUM(S156:S156) - SUM(T156:T156) - SUM(P156:P156) - V156,0)</f>
        <v>0</v>
      </c>
      <c r="J156" s="362">
        <v>2353006498</v>
      </c>
      <c r="K156" s="363" t="s">
        <v>411</v>
      </c>
      <c r="L156" s="353" t="s">
        <v>146</v>
      </c>
      <c r="M156" s="353" t="s">
        <v>412</v>
      </c>
      <c r="N156" s="353" t="s">
        <v>425</v>
      </c>
      <c r="O156" s="704" t="s">
        <v>63</v>
      </c>
      <c r="P156" s="355">
        <v>100043</v>
      </c>
      <c r="Q156" s="358">
        <v>44530</v>
      </c>
      <c r="R156" s="353"/>
      <c r="S156" s="355"/>
      <c r="T156" s="355"/>
      <c r="U156" s="355"/>
      <c r="V156" s="364"/>
      <c r="W156" s="361"/>
      <c r="X156" s="117">
        <v>26</v>
      </c>
    </row>
    <row r="157" spans="1:24" s="117" customFormat="1" ht="131.25" x14ac:dyDescent="0.25">
      <c r="A157" s="357">
        <v>27</v>
      </c>
      <c r="B157" s="353" t="s">
        <v>56</v>
      </c>
      <c r="C157" s="353" t="s">
        <v>146</v>
      </c>
      <c r="D157" s="353" t="s">
        <v>147</v>
      </c>
      <c r="E157" s="353" t="s">
        <v>413</v>
      </c>
      <c r="F157" s="704">
        <v>44490</v>
      </c>
      <c r="G157" s="358" t="s">
        <v>424</v>
      </c>
      <c r="H157" s="355">
        <v>4676</v>
      </c>
      <c r="I157" s="356">
        <f>IF(X157 = 27, H157 + SUM(S157:S157) - SUM(T157:T157) - SUM(P157:P157) - V157,0)</f>
        <v>0</v>
      </c>
      <c r="J157" s="362">
        <v>2353006499</v>
      </c>
      <c r="K157" s="363" t="s">
        <v>411</v>
      </c>
      <c r="L157" s="353" t="s">
        <v>146</v>
      </c>
      <c r="M157" s="353" t="s">
        <v>412</v>
      </c>
      <c r="N157" s="353" t="s">
        <v>425</v>
      </c>
      <c r="O157" s="704" t="s">
        <v>63</v>
      </c>
      <c r="P157" s="355">
        <v>4676</v>
      </c>
      <c r="Q157" s="358">
        <v>44530</v>
      </c>
      <c r="R157" s="353"/>
      <c r="S157" s="355"/>
      <c r="T157" s="355"/>
      <c r="U157" s="355"/>
      <c r="V157" s="364"/>
      <c r="W157" s="361"/>
      <c r="X157" s="117">
        <v>27</v>
      </c>
    </row>
    <row r="158" spans="1:24" s="117" customFormat="1" ht="131.25" x14ac:dyDescent="0.25">
      <c r="A158" s="357">
        <v>28</v>
      </c>
      <c r="B158" s="353" t="s">
        <v>56</v>
      </c>
      <c r="C158" s="353" t="s">
        <v>146</v>
      </c>
      <c r="D158" s="353" t="s">
        <v>147</v>
      </c>
      <c r="E158" s="353" t="s">
        <v>426</v>
      </c>
      <c r="F158" s="704">
        <v>44523</v>
      </c>
      <c r="G158" s="358" t="s">
        <v>419</v>
      </c>
      <c r="H158" s="355">
        <v>33300</v>
      </c>
      <c r="I158" s="356">
        <f>IF(X158 = 28, H158 + SUM(S158:S158) - SUM(T158:T158) - SUM(P158:P158) - V158,0)</f>
        <v>0</v>
      </c>
      <c r="J158" s="362">
        <v>235305769122</v>
      </c>
      <c r="K158" s="363" t="s">
        <v>198</v>
      </c>
      <c r="L158" s="353" t="s">
        <v>146</v>
      </c>
      <c r="M158" s="353" t="s">
        <v>420</v>
      </c>
      <c r="N158" s="704">
        <v>44532</v>
      </c>
      <c r="O158" s="704" t="s">
        <v>63</v>
      </c>
      <c r="P158" s="355">
        <v>33300</v>
      </c>
      <c r="Q158" s="358">
        <v>44530</v>
      </c>
      <c r="R158" s="353"/>
      <c r="S158" s="355"/>
      <c r="T158" s="355"/>
      <c r="U158" s="355"/>
      <c r="V158" s="364"/>
      <c r="W158" s="361"/>
      <c r="X158" s="117">
        <v>28</v>
      </c>
    </row>
    <row r="159" spans="1:24" s="117" customFormat="1" ht="131.25" x14ac:dyDescent="0.25">
      <c r="A159" s="357">
        <v>29</v>
      </c>
      <c r="B159" s="353" t="s">
        <v>56</v>
      </c>
      <c r="C159" s="353" t="s">
        <v>146</v>
      </c>
      <c r="D159" s="353" t="s">
        <v>147</v>
      </c>
      <c r="E159" s="353" t="s">
        <v>428</v>
      </c>
      <c r="F159" s="704">
        <v>44481</v>
      </c>
      <c r="G159" s="358" t="s">
        <v>406</v>
      </c>
      <c r="H159" s="355">
        <v>31725</v>
      </c>
      <c r="I159" s="356">
        <f>IF(X159 = 29, H159 + SUM(S159:S159) - SUM(T159:T159) - SUM(P159:P159) - V159,0)</f>
        <v>0</v>
      </c>
      <c r="J159" s="362">
        <v>235305769122</v>
      </c>
      <c r="K159" s="363" t="s">
        <v>198</v>
      </c>
      <c r="L159" s="353" t="s">
        <v>146</v>
      </c>
      <c r="M159" s="353" t="s">
        <v>420</v>
      </c>
      <c r="N159" s="704"/>
      <c r="O159" s="704" t="s">
        <v>63</v>
      </c>
      <c r="P159" s="355">
        <v>31725</v>
      </c>
      <c r="Q159" s="358">
        <v>44483</v>
      </c>
      <c r="R159" s="353"/>
      <c r="S159" s="355"/>
      <c r="T159" s="355"/>
      <c r="U159" s="355"/>
      <c r="V159" s="364"/>
      <c r="W159" s="361"/>
      <c r="X159" s="117">
        <v>29</v>
      </c>
    </row>
    <row r="160" spans="1:24" s="117" customFormat="1" ht="131.25" customHeight="1" x14ac:dyDescent="0.25">
      <c r="A160" s="759">
        <v>30</v>
      </c>
      <c r="B160" s="760" t="s">
        <v>56</v>
      </c>
      <c r="C160" s="760" t="s">
        <v>146</v>
      </c>
      <c r="D160" s="760" t="s">
        <v>243</v>
      </c>
      <c r="E160" s="760" t="s">
        <v>431</v>
      </c>
      <c r="F160" s="795">
        <v>44439</v>
      </c>
      <c r="G160" s="761" t="s">
        <v>370</v>
      </c>
      <c r="H160" s="762">
        <v>661689</v>
      </c>
      <c r="I160" s="763">
        <f>IF(X160 = 30, H160 + SUM(S160:S174) - SUM(T160:T174) - SUM(P160:P174) - V160,0)</f>
        <v>315993.77999999997</v>
      </c>
      <c r="J160" s="764">
        <v>2353020735</v>
      </c>
      <c r="K160" s="765" t="s">
        <v>173</v>
      </c>
      <c r="L160" s="760" t="s">
        <v>146</v>
      </c>
      <c r="M160" s="760"/>
      <c r="N160" s="798">
        <v>44447</v>
      </c>
      <c r="O160" s="795" t="s">
        <v>63</v>
      </c>
      <c r="P160" s="766">
        <v>57957.919999999998</v>
      </c>
      <c r="Q160" s="767">
        <v>44462</v>
      </c>
      <c r="R160" s="768"/>
      <c r="S160" s="766"/>
      <c r="T160" s="766"/>
      <c r="U160" s="762"/>
      <c r="V160" s="769"/>
      <c r="W160" s="770"/>
      <c r="X160" s="117">
        <v>30</v>
      </c>
    </row>
    <row r="161" spans="1:24" s="2" customFormat="1" x14ac:dyDescent="0.25">
      <c r="A161" s="771"/>
      <c r="B161" s="772"/>
      <c r="C161" s="772"/>
      <c r="D161" s="772"/>
      <c r="E161" s="772"/>
      <c r="F161" s="796"/>
      <c r="G161" s="773"/>
      <c r="H161" s="774"/>
      <c r="I161" s="775"/>
      <c r="J161" s="776"/>
      <c r="K161" s="777"/>
      <c r="L161" s="772"/>
      <c r="M161" s="772"/>
      <c r="N161" s="799">
        <v>44447</v>
      </c>
      <c r="O161" s="796"/>
      <c r="P161" s="778">
        <v>3699.52</v>
      </c>
      <c r="Q161" s="779">
        <v>44462</v>
      </c>
      <c r="R161" s="780"/>
      <c r="S161" s="778"/>
      <c r="T161" s="778"/>
      <c r="U161" s="774"/>
      <c r="V161" s="781"/>
      <c r="W161" s="782"/>
      <c r="X161" s="2">
        <v>30</v>
      </c>
    </row>
    <row r="162" spans="1:24" s="2" customFormat="1" x14ac:dyDescent="0.25">
      <c r="A162" s="771"/>
      <c r="B162" s="772"/>
      <c r="C162" s="772"/>
      <c r="D162" s="772"/>
      <c r="E162" s="772"/>
      <c r="F162" s="796"/>
      <c r="G162" s="773"/>
      <c r="H162" s="774"/>
      <c r="I162" s="775"/>
      <c r="J162" s="776"/>
      <c r="K162" s="777"/>
      <c r="L162" s="772"/>
      <c r="M162" s="772"/>
      <c r="N162" s="799">
        <v>44470</v>
      </c>
      <c r="O162" s="796"/>
      <c r="P162" s="778">
        <v>62552.15</v>
      </c>
      <c r="Q162" s="779">
        <v>44476</v>
      </c>
      <c r="R162" s="780"/>
      <c r="S162" s="778"/>
      <c r="T162" s="778"/>
      <c r="U162" s="774"/>
      <c r="V162" s="781"/>
      <c r="W162" s="782"/>
      <c r="X162" s="2">
        <v>30</v>
      </c>
    </row>
    <row r="163" spans="1:24" s="2" customFormat="1" x14ac:dyDescent="0.25">
      <c r="A163" s="771"/>
      <c r="B163" s="772"/>
      <c r="C163" s="772"/>
      <c r="D163" s="772"/>
      <c r="E163" s="772"/>
      <c r="F163" s="796"/>
      <c r="G163" s="773"/>
      <c r="H163" s="774"/>
      <c r="I163" s="775"/>
      <c r="J163" s="776"/>
      <c r="K163" s="777"/>
      <c r="L163" s="772"/>
      <c r="M163" s="772"/>
      <c r="N163" s="799">
        <v>44470</v>
      </c>
      <c r="O163" s="796"/>
      <c r="P163" s="778">
        <v>3992.77</v>
      </c>
      <c r="Q163" s="779">
        <v>44476</v>
      </c>
      <c r="R163" s="780"/>
      <c r="S163" s="778"/>
      <c r="T163" s="778"/>
      <c r="U163" s="774"/>
      <c r="V163" s="781"/>
      <c r="W163" s="782"/>
      <c r="X163" s="2">
        <v>30</v>
      </c>
    </row>
    <row r="164" spans="1:24" s="2" customFormat="1" x14ac:dyDescent="0.25">
      <c r="A164" s="771"/>
      <c r="B164" s="772"/>
      <c r="C164" s="772"/>
      <c r="D164" s="772"/>
      <c r="E164" s="772"/>
      <c r="F164" s="796"/>
      <c r="G164" s="773"/>
      <c r="H164" s="774"/>
      <c r="I164" s="775"/>
      <c r="J164" s="776"/>
      <c r="K164" s="777"/>
      <c r="L164" s="772"/>
      <c r="M164" s="772"/>
      <c r="N164" s="799">
        <v>44469</v>
      </c>
      <c r="O164" s="796"/>
      <c r="P164" s="778">
        <v>1789.6</v>
      </c>
      <c r="Q164" s="779">
        <v>44477</v>
      </c>
      <c r="R164" s="780"/>
      <c r="S164" s="778"/>
      <c r="T164" s="778"/>
      <c r="U164" s="774"/>
      <c r="V164" s="781"/>
      <c r="W164" s="782"/>
      <c r="X164" s="2">
        <v>30</v>
      </c>
    </row>
    <row r="165" spans="1:24" s="2" customFormat="1" x14ac:dyDescent="0.25">
      <c r="A165" s="771"/>
      <c r="B165" s="772"/>
      <c r="C165" s="772"/>
      <c r="D165" s="772"/>
      <c r="E165" s="772"/>
      <c r="F165" s="796"/>
      <c r="G165" s="773"/>
      <c r="H165" s="774"/>
      <c r="I165" s="775"/>
      <c r="J165" s="776"/>
      <c r="K165" s="777"/>
      <c r="L165" s="772"/>
      <c r="M165" s="772"/>
      <c r="N165" s="799">
        <v>44469</v>
      </c>
      <c r="O165" s="796"/>
      <c r="P165" s="778">
        <v>28036.560000000001</v>
      </c>
      <c r="Q165" s="779">
        <v>44477</v>
      </c>
      <c r="R165" s="780"/>
      <c r="S165" s="778"/>
      <c r="T165" s="778"/>
      <c r="U165" s="774"/>
      <c r="V165" s="781"/>
      <c r="W165" s="782"/>
      <c r="X165" s="2">
        <v>30</v>
      </c>
    </row>
    <row r="166" spans="1:24" s="2" customFormat="1" x14ac:dyDescent="0.25">
      <c r="A166" s="771"/>
      <c r="B166" s="772"/>
      <c r="C166" s="772"/>
      <c r="D166" s="772"/>
      <c r="E166" s="772"/>
      <c r="F166" s="796"/>
      <c r="G166" s="773"/>
      <c r="H166" s="774"/>
      <c r="I166" s="775"/>
      <c r="J166" s="776"/>
      <c r="K166" s="777"/>
      <c r="L166" s="772"/>
      <c r="M166" s="772"/>
      <c r="N166" s="799">
        <v>44477</v>
      </c>
      <c r="O166" s="796"/>
      <c r="P166" s="778">
        <v>39875.519999999997</v>
      </c>
      <c r="Q166" s="779">
        <v>44489</v>
      </c>
      <c r="R166" s="780"/>
      <c r="S166" s="778"/>
      <c r="T166" s="778"/>
      <c r="U166" s="774"/>
      <c r="V166" s="781"/>
      <c r="W166" s="782"/>
      <c r="X166" s="2">
        <v>30</v>
      </c>
    </row>
    <row r="167" spans="1:24" s="2" customFormat="1" x14ac:dyDescent="0.25">
      <c r="A167" s="771"/>
      <c r="B167" s="772"/>
      <c r="C167" s="772"/>
      <c r="D167" s="772"/>
      <c r="E167" s="772"/>
      <c r="F167" s="796"/>
      <c r="G167" s="773"/>
      <c r="H167" s="774"/>
      <c r="I167" s="775"/>
      <c r="J167" s="776"/>
      <c r="K167" s="777"/>
      <c r="L167" s="772"/>
      <c r="M167" s="772"/>
      <c r="N167" s="799">
        <v>44477</v>
      </c>
      <c r="O167" s="796"/>
      <c r="P167" s="778">
        <v>2545.3000000000002</v>
      </c>
      <c r="Q167" s="779">
        <v>44489</v>
      </c>
      <c r="R167" s="780"/>
      <c r="S167" s="778"/>
      <c r="T167" s="778"/>
      <c r="U167" s="774"/>
      <c r="V167" s="781"/>
      <c r="W167" s="782"/>
      <c r="X167" s="2">
        <v>30</v>
      </c>
    </row>
    <row r="168" spans="1:24" s="2" customFormat="1" x14ac:dyDescent="0.25">
      <c r="A168" s="771"/>
      <c r="B168" s="772"/>
      <c r="C168" s="772"/>
      <c r="D168" s="772"/>
      <c r="E168" s="772"/>
      <c r="F168" s="796"/>
      <c r="G168" s="773"/>
      <c r="H168" s="774"/>
      <c r="I168" s="775"/>
      <c r="J168" s="776"/>
      <c r="K168" s="777"/>
      <c r="L168" s="772"/>
      <c r="M168" s="772"/>
      <c r="N168" s="799">
        <v>44498</v>
      </c>
      <c r="O168" s="796"/>
      <c r="P168" s="778">
        <v>34692.29</v>
      </c>
      <c r="Q168" s="779">
        <v>44510</v>
      </c>
      <c r="R168" s="780"/>
      <c r="S168" s="778"/>
      <c r="T168" s="778"/>
      <c r="U168" s="774"/>
      <c r="V168" s="781"/>
      <c r="W168" s="782"/>
      <c r="X168" s="2">
        <v>30</v>
      </c>
    </row>
    <row r="169" spans="1:24" s="2" customFormat="1" x14ac:dyDescent="0.25">
      <c r="A169" s="771"/>
      <c r="B169" s="772"/>
      <c r="C169" s="772"/>
      <c r="D169" s="772"/>
      <c r="E169" s="772"/>
      <c r="F169" s="796"/>
      <c r="G169" s="773"/>
      <c r="H169" s="774"/>
      <c r="I169" s="775"/>
      <c r="J169" s="776"/>
      <c r="K169" s="777"/>
      <c r="L169" s="772"/>
      <c r="M169" s="772"/>
      <c r="N169" s="799">
        <v>44498</v>
      </c>
      <c r="O169" s="796"/>
      <c r="P169" s="778">
        <v>2214.4499999999998</v>
      </c>
      <c r="Q169" s="779">
        <v>44510</v>
      </c>
      <c r="R169" s="780"/>
      <c r="S169" s="778"/>
      <c r="T169" s="778"/>
      <c r="U169" s="774"/>
      <c r="V169" s="781"/>
      <c r="W169" s="782"/>
      <c r="X169" s="2">
        <v>30</v>
      </c>
    </row>
    <row r="170" spans="1:24" s="2" customFormat="1" x14ac:dyDescent="0.25">
      <c r="A170" s="771"/>
      <c r="B170" s="772"/>
      <c r="C170" s="772"/>
      <c r="D170" s="772"/>
      <c r="E170" s="772"/>
      <c r="F170" s="796"/>
      <c r="G170" s="773"/>
      <c r="H170" s="774"/>
      <c r="I170" s="775"/>
      <c r="J170" s="776"/>
      <c r="K170" s="777"/>
      <c r="L170" s="772"/>
      <c r="M170" s="772"/>
      <c r="N170" s="799">
        <v>44491</v>
      </c>
      <c r="O170" s="796"/>
      <c r="P170" s="778">
        <v>67146.37</v>
      </c>
      <c r="Q170" s="779">
        <v>44516</v>
      </c>
      <c r="R170" s="780"/>
      <c r="S170" s="778"/>
      <c r="T170" s="778"/>
      <c r="U170" s="774"/>
      <c r="V170" s="781"/>
      <c r="W170" s="782"/>
      <c r="X170" s="2">
        <v>30</v>
      </c>
    </row>
    <row r="171" spans="1:24" s="2" customFormat="1" x14ac:dyDescent="0.25">
      <c r="A171" s="771"/>
      <c r="B171" s="772"/>
      <c r="C171" s="772"/>
      <c r="D171" s="772"/>
      <c r="E171" s="772"/>
      <c r="F171" s="796"/>
      <c r="G171" s="773"/>
      <c r="H171" s="774"/>
      <c r="I171" s="775"/>
      <c r="J171" s="776"/>
      <c r="K171" s="777"/>
      <c r="L171" s="772"/>
      <c r="M171" s="772"/>
      <c r="N171" s="799">
        <v>44491</v>
      </c>
      <c r="O171" s="796"/>
      <c r="P171" s="778">
        <v>4286.03</v>
      </c>
      <c r="Q171" s="779">
        <v>44516</v>
      </c>
      <c r="R171" s="780"/>
      <c r="S171" s="778"/>
      <c r="T171" s="778"/>
      <c r="U171" s="774"/>
      <c r="V171" s="781"/>
      <c r="W171" s="782"/>
      <c r="X171" s="2">
        <v>30</v>
      </c>
    </row>
    <row r="172" spans="1:24" s="2" customFormat="1" x14ac:dyDescent="0.25">
      <c r="A172" s="771"/>
      <c r="B172" s="772"/>
      <c r="C172" s="772"/>
      <c r="D172" s="772"/>
      <c r="E172" s="772"/>
      <c r="F172" s="796"/>
      <c r="G172" s="773"/>
      <c r="H172" s="774"/>
      <c r="I172" s="775"/>
      <c r="J172" s="776"/>
      <c r="K172" s="777"/>
      <c r="L172" s="772"/>
      <c r="M172" s="772"/>
      <c r="N172" s="799">
        <v>44512</v>
      </c>
      <c r="O172" s="796"/>
      <c r="P172" s="778">
        <v>2214.4499999999998</v>
      </c>
      <c r="Q172" s="779">
        <v>44530</v>
      </c>
      <c r="R172" s="780"/>
      <c r="S172" s="778"/>
      <c r="T172" s="778"/>
      <c r="U172" s="774"/>
      <c r="V172" s="781"/>
      <c r="W172" s="782"/>
      <c r="X172" s="2">
        <v>30</v>
      </c>
    </row>
    <row r="173" spans="1:24" s="2" customFormat="1" x14ac:dyDescent="0.25">
      <c r="A173" s="771"/>
      <c r="B173" s="772"/>
      <c r="C173" s="772"/>
      <c r="D173" s="772"/>
      <c r="E173" s="772"/>
      <c r="F173" s="796"/>
      <c r="G173" s="773"/>
      <c r="H173" s="774"/>
      <c r="I173" s="775"/>
      <c r="J173" s="776"/>
      <c r="K173" s="777"/>
      <c r="L173" s="772"/>
      <c r="M173" s="772"/>
      <c r="N173" s="799">
        <v>44512</v>
      </c>
      <c r="O173" s="796"/>
      <c r="P173" s="778">
        <v>34692.29</v>
      </c>
      <c r="Q173" s="779">
        <v>44530</v>
      </c>
      <c r="R173" s="780"/>
      <c r="S173" s="778"/>
      <c r="T173" s="778"/>
      <c r="U173" s="774"/>
      <c r="V173" s="781"/>
      <c r="W173" s="782"/>
      <c r="X173" s="2">
        <v>30</v>
      </c>
    </row>
    <row r="174" spans="1:24" s="2" customFormat="1" x14ac:dyDescent="0.25">
      <c r="A174" s="783"/>
      <c r="B174" s="784"/>
      <c r="C174" s="784"/>
      <c r="D174" s="784"/>
      <c r="E174" s="784"/>
      <c r="F174" s="797"/>
      <c r="G174" s="785"/>
      <c r="H174" s="786"/>
      <c r="I174" s="787"/>
      <c r="J174" s="788"/>
      <c r="K174" s="789"/>
      <c r="L174" s="784"/>
      <c r="M174" s="784"/>
      <c r="N174" s="800"/>
      <c r="O174" s="797"/>
      <c r="P174" s="790"/>
      <c r="Q174" s="791"/>
      <c r="R174" s="792"/>
      <c r="S174" s="790"/>
      <c r="T174" s="790"/>
      <c r="U174" s="786"/>
      <c r="V174" s="793"/>
      <c r="W174" s="794"/>
      <c r="X174" s="2">
        <v>30</v>
      </c>
    </row>
    <row r="175" spans="1:24" x14ac:dyDescent="0.25">
      <c r="B175" s="141"/>
      <c r="X175" s="8">
        <v>31</v>
      </c>
    </row>
    <row r="176" spans="1:24" x14ac:dyDescent="0.25">
      <c r="B176" s="141"/>
    </row>
    <row r="177" spans="2:5" x14ac:dyDescent="0.25">
      <c r="B177" s="141"/>
    </row>
    <row r="178" spans="2:5" x14ac:dyDescent="0.25">
      <c r="B178" s="141"/>
      <c r="E178" s="45"/>
    </row>
  </sheetData>
  <sheetProtection password="EB34" sheet="1" objects="1" scenarios="1" formatCells="0" formatColumns="0" formatRows="0"/>
  <mergeCells count="343">
    <mergeCell ref="M160:M174"/>
    <mergeCell ref="A160:A174"/>
    <mergeCell ref="O160:O174"/>
    <mergeCell ref="U160:U174"/>
    <mergeCell ref="B160:B174"/>
    <mergeCell ref="V160:V174"/>
    <mergeCell ref="C160:C174"/>
    <mergeCell ref="W160:W174"/>
    <mergeCell ref="D160:D174"/>
    <mergeCell ref="E160:E174"/>
    <mergeCell ref="F160:F174"/>
    <mergeCell ref="G160:G174"/>
    <mergeCell ref="H160:H174"/>
    <mergeCell ref="I160:I174"/>
    <mergeCell ref="J160:J174"/>
    <mergeCell ref="K160:K174"/>
    <mergeCell ref="L160:L174"/>
    <mergeCell ref="M152:M154"/>
    <mergeCell ref="A21:A30"/>
    <mergeCell ref="O21:O30"/>
    <mergeCell ref="U21:U30"/>
    <mergeCell ref="B21:B30"/>
    <mergeCell ref="V21:V30"/>
    <mergeCell ref="C21:C30"/>
    <mergeCell ref="W21:W30"/>
    <mergeCell ref="D21:D30"/>
    <mergeCell ref="E21:E30"/>
    <mergeCell ref="F21:F30"/>
    <mergeCell ref="G21:G30"/>
    <mergeCell ref="H21:H30"/>
    <mergeCell ref="I21:I30"/>
    <mergeCell ref="J21:J30"/>
    <mergeCell ref="K21:K30"/>
    <mergeCell ref="L21:L30"/>
    <mergeCell ref="M21:M30"/>
    <mergeCell ref="D152:D154"/>
    <mergeCell ref="E152:E154"/>
    <mergeCell ref="F152:F154"/>
    <mergeCell ref="G152:G154"/>
    <mergeCell ref="H152:H154"/>
    <mergeCell ref="I152:I154"/>
    <mergeCell ref="J152:J154"/>
    <mergeCell ref="K152:K154"/>
    <mergeCell ref="L152:L154"/>
    <mergeCell ref="A105:A114"/>
    <mergeCell ref="O105:O114"/>
    <mergeCell ref="U105:U114"/>
    <mergeCell ref="B105:B114"/>
    <mergeCell ref="V105:V114"/>
    <mergeCell ref="C105:C114"/>
    <mergeCell ref="W105:W114"/>
    <mergeCell ref="D105:D114"/>
    <mergeCell ref="E105:E114"/>
    <mergeCell ref="F105:F114"/>
    <mergeCell ref="G105:G114"/>
    <mergeCell ref="H105:H114"/>
    <mergeCell ref="I105:I114"/>
    <mergeCell ref="J105:J114"/>
    <mergeCell ref="K105:K114"/>
    <mergeCell ref="L105:L114"/>
    <mergeCell ref="M105:M114"/>
    <mergeCell ref="O95:O104"/>
    <mergeCell ref="U95:U104"/>
    <mergeCell ref="B95:B104"/>
    <mergeCell ref="V95:V104"/>
    <mergeCell ref="C95:C104"/>
    <mergeCell ref="W95:W104"/>
    <mergeCell ref="D95:D104"/>
    <mergeCell ref="E95:E104"/>
    <mergeCell ref="F95:F104"/>
    <mergeCell ref="G95:G104"/>
    <mergeCell ref="H95:H104"/>
    <mergeCell ref="I95:I104"/>
    <mergeCell ref="J95:J104"/>
    <mergeCell ref="K95:K104"/>
    <mergeCell ref="L95:L104"/>
    <mergeCell ref="M95:M104"/>
    <mergeCell ref="A143:A146"/>
    <mergeCell ref="O143:O146"/>
    <mergeCell ref="U143:U146"/>
    <mergeCell ref="B143:B146"/>
    <mergeCell ref="V143:V146"/>
    <mergeCell ref="C143:C146"/>
    <mergeCell ref="W143:W146"/>
    <mergeCell ref="D143:D146"/>
    <mergeCell ref="E143:E146"/>
    <mergeCell ref="F143:F146"/>
    <mergeCell ref="G143:G146"/>
    <mergeCell ref="H143:H146"/>
    <mergeCell ref="I143:I146"/>
    <mergeCell ref="J143:J146"/>
    <mergeCell ref="K143:K146"/>
    <mergeCell ref="L143:L146"/>
    <mergeCell ref="M143:M146"/>
    <mergeCell ref="A57:A66"/>
    <mergeCell ref="O57:O66"/>
    <mergeCell ref="U57:U66"/>
    <mergeCell ref="B57:B66"/>
    <mergeCell ref="V57:V66"/>
    <mergeCell ref="C57:C66"/>
    <mergeCell ref="W57:W66"/>
    <mergeCell ref="D57:D66"/>
    <mergeCell ref="E57:E66"/>
    <mergeCell ref="F57:F66"/>
    <mergeCell ref="G57:G66"/>
    <mergeCell ref="H57:H66"/>
    <mergeCell ref="I57:I66"/>
    <mergeCell ref="J57:J66"/>
    <mergeCell ref="K57:K66"/>
    <mergeCell ref="L57:L66"/>
    <mergeCell ref="M57:M66"/>
    <mergeCell ref="V31:V56"/>
    <mergeCell ref="C31:C56"/>
    <mergeCell ref="W31:W56"/>
    <mergeCell ref="D31:D56"/>
    <mergeCell ref="E31:E56"/>
    <mergeCell ref="F31:F56"/>
    <mergeCell ref="G31:G56"/>
    <mergeCell ref="H31:H56"/>
    <mergeCell ref="I31:I56"/>
    <mergeCell ref="J31:J56"/>
    <mergeCell ref="K31:K56"/>
    <mergeCell ref="L31:L56"/>
    <mergeCell ref="M31:M56"/>
    <mergeCell ref="A31:A56"/>
    <mergeCell ref="O31:O56"/>
    <mergeCell ref="U31:U56"/>
    <mergeCell ref="B31:B56"/>
    <mergeCell ref="M149:M151"/>
    <mergeCell ref="D149:D151"/>
    <mergeCell ref="E149:E151"/>
    <mergeCell ref="F149:F151"/>
    <mergeCell ref="G149:G151"/>
    <mergeCell ref="H149:H151"/>
    <mergeCell ref="I149:I151"/>
    <mergeCell ref="J149:J151"/>
    <mergeCell ref="K149:K151"/>
    <mergeCell ref="L149:L151"/>
    <mergeCell ref="B137:B139"/>
    <mergeCell ref="V137:V139"/>
    <mergeCell ref="C137:C139"/>
    <mergeCell ref="A149:A151"/>
    <mergeCell ref="O149:O151"/>
    <mergeCell ref="U149:U151"/>
    <mergeCell ref="B149:B151"/>
    <mergeCell ref="V149:V151"/>
    <mergeCell ref="C149:C151"/>
    <mergeCell ref="W149:W151"/>
    <mergeCell ref="A137:A139"/>
    <mergeCell ref="M15:M20"/>
    <mergeCell ref="O15:O20"/>
    <mergeCell ref="U15:U20"/>
    <mergeCell ref="V15:V20"/>
    <mergeCell ref="C90:C94"/>
    <mergeCell ref="L90:L94"/>
    <mergeCell ref="W137:W139"/>
    <mergeCell ref="D137:D139"/>
    <mergeCell ref="E137:E139"/>
    <mergeCell ref="F137:F139"/>
    <mergeCell ref="G137:G139"/>
    <mergeCell ref="H137:H139"/>
    <mergeCell ref="I137:I139"/>
    <mergeCell ref="J137:J139"/>
    <mergeCell ref="K137:K139"/>
    <mergeCell ref="L137:L139"/>
    <mergeCell ref="M137:M139"/>
    <mergeCell ref="O137:O139"/>
    <mergeCell ref="U137:U139"/>
    <mergeCell ref="W115:W117"/>
    <mergeCell ref="M115:M117"/>
    <mergeCell ref="D115:D117"/>
    <mergeCell ref="E115:E117"/>
    <mergeCell ref="F115:F117"/>
    <mergeCell ref="G115:G117"/>
    <mergeCell ref="B115:B117"/>
    <mergeCell ref="V115:V117"/>
    <mergeCell ref="C115:C117"/>
    <mergeCell ref="S2:U2"/>
    <mergeCell ref="F2:G2"/>
    <mergeCell ref="N2:O2"/>
    <mergeCell ref="A67:A74"/>
    <mergeCell ref="W88:W89"/>
    <mergeCell ref="D88:D89"/>
    <mergeCell ref="F88:F89"/>
    <mergeCell ref="G88:G89"/>
    <mergeCell ref="H88:H89"/>
    <mergeCell ref="I88:I89"/>
    <mergeCell ref="J88:J89"/>
    <mergeCell ref="K88:K89"/>
    <mergeCell ref="L88:L89"/>
    <mergeCell ref="M88:M89"/>
    <mergeCell ref="A88:A89"/>
    <mergeCell ref="O88:O89"/>
    <mergeCell ref="U88:U89"/>
    <mergeCell ref="B88:B89"/>
    <mergeCell ref="V88:V89"/>
    <mergeCell ref="C88:C89"/>
    <mergeCell ref="E88:E89"/>
    <mergeCell ref="C15:C20"/>
    <mergeCell ref="W15:W20"/>
    <mergeCell ref="D15:D20"/>
    <mergeCell ref="B67:B74"/>
    <mergeCell ref="V67:V74"/>
    <mergeCell ref="C67:C74"/>
    <mergeCell ref="W78:W87"/>
    <mergeCell ref="V90:V94"/>
    <mergeCell ref="W90:W94"/>
    <mergeCell ref="D90:D94"/>
    <mergeCell ref="E90:E94"/>
    <mergeCell ref="F90:F94"/>
    <mergeCell ref="G90:G94"/>
    <mergeCell ref="H90:H94"/>
    <mergeCell ref="I90:I94"/>
    <mergeCell ref="J90:J94"/>
    <mergeCell ref="K90:K94"/>
    <mergeCell ref="W67:W74"/>
    <mergeCell ref="D67:D74"/>
    <mergeCell ref="E67:E74"/>
    <mergeCell ref="F67:F74"/>
    <mergeCell ref="G67:G74"/>
    <mergeCell ref="H67:H74"/>
    <mergeCell ref="I67:I74"/>
    <mergeCell ref="J67:J74"/>
    <mergeCell ref="K67:K74"/>
    <mergeCell ref="L67:L74"/>
    <mergeCell ref="W134:W136"/>
    <mergeCell ref="D78:D87"/>
    <mergeCell ref="E78:E87"/>
    <mergeCell ref="F78:F87"/>
    <mergeCell ref="G78:G87"/>
    <mergeCell ref="H78:H87"/>
    <mergeCell ref="I78:I87"/>
    <mergeCell ref="J78:J87"/>
    <mergeCell ref="K78:K87"/>
    <mergeCell ref="L78:L87"/>
    <mergeCell ref="M78:M87"/>
    <mergeCell ref="I118:I133"/>
    <mergeCell ref="J118:J133"/>
    <mergeCell ref="K118:K133"/>
    <mergeCell ref="L118:L133"/>
    <mergeCell ref="O115:O117"/>
    <mergeCell ref="U115:U117"/>
    <mergeCell ref="J115:J117"/>
    <mergeCell ref="O134:O136"/>
    <mergeCell ref="U134:U136"/>
    <mergeCell ref="W118:W133"/>
    <mergeCell ref="D118:D133"/>
    <mergeCell ref="E118:E133"/>
    <mergeCell ref="F118:F133"/>
    <mergeCell ref="M67:M74"/>
    <mergeCell ref="O67:O74"/>
    <mergeCell ref="U67:U74"/>
    <mergeCell ref="O9:O14"/>
    <mergeCell ref="U9:U14"/>
    <mergeCell ref="V9:V14"/>
    <mergeCell ref="W9:W14"/>
    <mergeCell ref="D9:D14"/>
    <mergeCell ref="E9:E14"/>
    <mergeCell ref="F9:F14"/>
    <mergeCell ref="G9:G14"/>
    <mergeCell ref="H9:H14"/>
    <mergeCell ref="I9:I14"/>
    <mergeCell ref="J9:J14"/>
    <mergeCell ref="K9:K14"/>
    <mergeCell ref="L9:L14"/>
    <mergeCell ref="E15:E20"/>
    <mergeCell ref="F15:F20"/>
    <mergeCell ref="G15:G20"/>
    <mergeCell ref="H15:H20"/>
    <mergeCell ref="I15:I20"/>
    <mergeCell ref="J15:J20"/>
    <mergeCell ref="K15:K20"/>
    <mergeCell ref="L15:L20"/>
    <mergeCell ref="A9:A14"/>
    <mergeCell ref="B9:B14"/>
    <mergeCell ref="C9:C14"/>
    <mergeCell ref="M9:M14"/>
    <mergeCell ref="A15:A20"/>
    <mergeCell ref="B15:B20"/>
    <mergeCell ref="M90:M94"/>
    <mergeCell ref="D134:D136"/>
    <mergeCell ref="E134:E136"/>
    <mergeCell ref="F134:F136"/>
    <mergeCell ref="G134:G136"/>
    <mergeCell ref="H134:H136"/>
    <mergeCell ref="I134:I136"/>
    <mergeCell ref="J134:J136"/>
    <mergeCell ref="K134:K136"/>
    <mergeCell ref="L134:L136"/>
    <mergeCell ref="M118:M133"/>
    <mergeCell ref="A134:A136"/>
    <mergeCell ref="A118:A133"/>
    <mergeCell ref="B118:B133"/>
    <mergeCell ref="C118:C133"/>
    <mergeCell ref="K115:K117"/>
    <mergeCell ref="L115:L117"/>
    <mergeCell ref="B134:B136"/>
    <mergeCell ref="V134:V136"/>
    <mergeCell ref="C134:C136"/>
    <mergeCell ref="A115:A117"/>
    <mergeCell ref="A78:A87"/>
    <mergeCell ref="O78:O87"/>
    <mergeCell ref="U78:U87"/>
    <mergeCell ref="B78:B87"/>
    <mergeCell ref="V78:V87"/>
    <mergeCell ref="C78:C87"/>
    <mergeCell ref="O118:O133"/>
    <mergeCell ref="U118:U133"/>
    <mergeCell ref="V118:V133"/>
    <mergeCell ref="M134:M136"/>
    <mergeCell ref="A90:A94"/>
    <mergeCell ref="O90:O94"/>
    <mergeCell ref="U90:U94"/>
    <mergeCell ref="B90:B94"/>
    <mergeCell ref="G118:G133"/>
    <mergeCell ref="H118:H133"/>
    <mergeCell ref="H115:H117"/>
    <mergeCell ref="I115:I117"/>
    <mergeCell ref="A95:A104"/>
    <mergeCell ref="A152:A154"/>
    <mergeCell ref="O152:O154"/>
    <mergeCell ref="U152:U154"/>
    <mergeCell ref="B152:B154"/>
    <mergeCell ref="V152:V154"/>
    <mergeCell ref="C152:C154"/>
    <mergeCell ref="W152:W154"/>
    <mergeCell ref="A75:A77"/>
    <mergeCell ref="O75:O77"/>
    <mergeCell ref="U75:U77"/>
    <mergeCell ref="B75:B77"/>
    <mergeCell ref="V75:V77"/>
    <mergeCell ref="C75:C77"/>
    <mergeCell ref="W75:W77"/>
    <mergeCell ref="D75:D77"/>
    <mergeCell ref="E75:E77"/>
    <mergeCell ref="F75:F77"/>
    <mergeCell ref="G75:G77"/>
    <mergeCell ref="H75:H77"/>
    <mergeCell ref="I75:I77"/>
    <mergeCell ref="J75:J77"/>
    <mergeCell ref="K75:K77"/>
    <mergeCell ref="L75:L77"/>
    <mergeCell ref="M75:M7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4"/>
  <sheetViews>
    <sheetView showGridLines="0" zoomScale="50" zoomScaleNormal="50" workbookViewId="0">
      <pane ySplit="8" topLeftCell="A9" activePane="bottomLeft" state="frozen"/>
      <selection pane="bottomLeft" activeCell="A9" sqref="A9:A13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2" customWidth="1"/>
    <col min="7" max="7" width="27.42578125" style="3" customWidth="1"/>
    <col min="8" max="8" width="33" style="3" customWidth="1"/>
    <col min="9" max="10" width="27.28515625" style="11" customWidth="1"/>
    <col min="11" max="11" width="26.5703125" style="3" customWidth="1"/>
    <col min="12" max="12" width="38.42578125" style="12" customWidth="1"/>
    <col min="13" max="13" width="37.5703125" style="3" customWidth="1"/>
    <col min="14" max="14" width="24.7109375" style="11" customWidth="1"/>
    <col min="15" max="15" width="24.42578125" style="12" customWidth="1"/>
    <col min="16" max="16" width="24.28515625" style="12" customWidth="1"/>
    <col min="17" max="17" width="27.42578125" style="12" customWidth="1"/>
    <col min="18" max="18" width="27.140625" style="12" customWidth="1"/>
    <col min="19" max="19" width="23.42578125" style="12" customWidth="1"/>
    <col min="20" max="20" width="22.85546875" style="11" customWidth="1"/>
    <col min="21" max="21" width="21.85546875" style="8" customWidth="1"/>
    <col min="22" max="16384" width="9.140625" style="8" hidden="1"/>
  </cols>
  <sheetData>
    <row r="1" spans="1:22" ht="19.5" thickBot="1" x14ac:dyDescent="0.3"/>
    <row r="2" spans="1:22" ht="39.950000000000003" customHeight="1" thickBot="1" x14ac:dyDescent="0.3">
      <c r="B2" s="86"/>
      <c r="C2" s="86"/>
      <c r="D2" s="86"/>
      <c r="E2" s="669" t="s">
        <v>24</v>
      </c>
      <c r="F2" s="670"/>
      <c r="G2" s="98">
        <f>SUM(G9:G9999)</f>
        <v>703000</v>
      </c>
      <c r="L2" s="689" t="s">
        <v>137</v>
      </c>
      <c r="M2" s="690"/>
      <c r="N2" s="87">
        <f>SUM(N9:N9999)</f>
        <v>385804.63999999996</v>
      </c>
      <c r="P2" s="86"/>
      <c r="Q2" s="507" t="s">
        <v>45</v>
      </c>
      <c r="R2" s="508"/>
      <c r="S2" s="509"/>
      <c r="T2" s="88">
        <f>SUM(T9:T9999)</f>
        <v>0</v>
      </c>
    </row>
    <row r="3" spans="1:22" x14ac:dyDescent="0.25">
      <c r="E3" s="38"/>
      <c r="F3" s="38"/>
      <c r="G3" s="38"/>
      <c r="H3" s="38"/>
      <c r="I3" s="43"/>
      <c r="J3" s="44"/>
      <c r="K3" s="41"/>
      <c r="L3" s="38"/>
      <c r="M3" s="38"/>
      <c r="N3" s="43"/>
      <c r="O3" s="42"/>
      <c r="P3" s="38"/>
      <c r="Q3" s="38"/>
      <c r="R3" s="38"/>
      <c r="S3" s="38"/>
      <c r="T3" s="43"/>
    </row>
    <row r="4" spans="1:22" ht="39.950000000000003" customHeight="1" x14ac:dyDescent="0.25">
      <c r="E4" s="38"/>
      <c r="F4" s="38"/>
      <c r="G4" s="38"/>
      <c r="H4" s="38"/>
      <c r="I4" s="43"/>
      <c r="J4" s="44"/>
      <c r="K4" s="41"/>
      <c r="L4" s="38"/>
      <c r="M4" s="38"/>
      <c r="N4" s="43"/>
      <c r="O4" s="42"/>
      <c r="P4" s="38"/>
      <c r="Q4" s="38"/>
      <c r="R4" s="38"/>
      <c r="S4" s="38"/>
      <c r="T4" s="43"/>
    </row>
    <row r="6" spans="1:22" ht="150" x14ac:dyDescent="0.25">
      <c r="A6" s="28" t="s">
        <v>8</v>
      </c>
      <c r="B6" s="28" t="s">
        <v>21</v>
      </c>
      <c r="C6" s="28" t="s">
        <v>10</v>
      </c>
      <c r="D6" s="28" t="s">
        <v>15</v>
      </c>
      <c r="E6" s="28" t="s">
        <v>0</v>
      </c>
      <c r="F6" s="27" t="s">
        <v>3</v>
      </c>
      <c r="G6" s="28" t="s">
        <v>38</v>
      </c>
      <c r="H6" s="28" t="s">
        <v>22</v>
      </c>
      <c r="I6" s="89" t="s">
        <v>46</v>
      </c>
      <c r="J6" s="89" t="s">
        <v>5</v>
      </c>
      <c r="K6" s="28" t="s">
        <v>39</v>
      </c>
      <c r="L6" s="27" t="s">
        <v>37</v>
      </c>
      <c r="M6" s="28" t="s">
        <v>6</v>
      </c>
      <c r="N6" s="89" t="s">
        <v>23</v>
      </c>
      <c r="O6" s="27" t="s">
        <v>9</v>
      </c>
      <c r="P6" s="27" t="s">
        <v>40</v>
      </c>
      <c r="Q6" s="27" t="s">
        <v>103</v>
      </c>
      <c r="R6" s="27" t="s">
        <v>104</v>
      </c>
      <c r="S6" s="27" t="s">
        <v>41</v>
      </c>
      <c r="T6" s="89" t="s">
        <v>43</v>
      </c>
      <c r="U6" s="17" t="s">
        <v>42</v>
      </c>
    </row>
    <row r="7" spans="1:22" x14ac:dyDescent="0.25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</row>
    <row r="8" spans="1:22" s="18" customFormat="1" ht="131.25" x14ac:dyDescent="0.25">
      <c r="A8" s="90" t="s">
        <v>36</v>
      </c>
      <c r="B8" s="90" t="s">
        <v>67</v>
      </c>
      <c r="C8" s="90" t="s">
        <v>66</v>
      </c>
      <c r="D8" s="90" t="s">
        <v>48</v>
      </c>
      <c r="E8" s="95">
        <v>43823</v>
      </c>
      <c r="F8" s="91" t="s">
        <v>65</v>
      </c>
      <c r="G8" s="92">
        <v>100000</v>
      </c>
      <c r="H8" s="92">
        <v>90000</v>
      </c>
      <c r="I8" s="96">
        <v>2308091759</v>
      </c>
      <c r="J8" s="90" t="s">
        <v>68</v>
      </c>
      <c r="K8" s="90" t="s">
        <v>69</v>
      </c>
      <c r="L8" s="91">
        <v>43801</v>
      </c>
      <c r="M8" s="90" t="s">
        <v>70</v>
      </c>
      <c r="N8" s="92">
        <v>10000</v>
      </c>
      <c r="O8" s="91">
        <v>43489</v>
      </c>
      <c r="P8" s="91"/>
      <c r="Q8" s="91"/>
      <c r="R8" s="91"/>
      <c r="S8" s="91"/>
      <c r="T8" s="92"/>
      <c r="U8" s="93" t="s">
        <v>64</v>
      </c>
    </row>
    <row r="9" spans="1:22" s="117" customFormat="1" ht="37.5" customHeight="1" x14ac:dyDescent="0.25">
      <c r="A9" s="759">
        <v>1</v>
      </c>
      <c r="B9" s="760"/>
      <c r="C9" s="760" t="s">
        <v>147</v>
      </c>
      <c r="D9" s="760" t="s">
        <v>168</v>
      </c>
      <c r="E9" s="795">
        <v>44217</v>
      </c>
      <c r="F9" s="761" t="s">
        <v>169</v>
      </c>
      <c r="G9" s="762">
        <v>703000</v>
      </c>
      <c r="H9" s="763">
        <f>IF(V9 = 1, G9 + SUM(Q9:Q13) - SUM(R9:R13) - SUM(N9:N13) - T9,0)</f>
        <v>317195.36000000004</v>
      </c>
      <c r="I9" s="801">
        <v>2312054894</v>
      </c>
      <c r="J9" s="760" t="s">
        <v>170</v>
      </c>
      <c r="K9" s="760" t="s">
        <v>171</v>
      </c>
      <c r="L9" s="798">
        <v>44227</v>
      </c>
      <c r="M9" s="760" t="s">
        <v>167</v>
      </c>
      <c r="N9" s="766">
        <v>115708.48</v>
      </c>
      <c r="O9" s="798">
        <v>44244</v>
      </c>
      <c r="P9" s="767"/>
      <c r="Q9" s="766"/>
      <c r="R9" s="766"/>
      <c r="S9" s="761"/>
      <c r="T9" s="762"/>
      <c r="U9" s="770"/>
      <c r="V9" s="117">
        <v>1</v>
      </c>
    </row>
    <row r="10" spans="1:22" s="2" customFormat="1" x14ac:dyDescent="0.25">
      <c r="A10" s="771"/>
      <c r="B10" s="772"/>
      <c r="C10" s="772"/>
      <c r="D10" s="772"/>
      <c r="E10" s="796"/>
      <c r="F10" s="773"/>
      <c r="G10" s="774"/>
      <c r="H10" s="775"/>
      <c r="I10" s="802"/>
      <c r="J10" s="772"/>
      <c r="K10" s="772"/>
      <c r="L10" s="799">
        <v>44255</v>
      </c>
      <c r="M10" s="772"/>
      <c r="N10" s="778">
        <v>101661.82</v>
      </c>
      <c r="O10" s="799">
        <v>44287</v>
      </c>
      <c r="P10" s="779"/>
      <c r="Q10" s="778"/>
      <c r="R10" s="778"/>
      <c r="S10" s="773"/>
      <c r="T10" s="774"/>
      <c r="U10" s="782"/>
      <c r="V10" s="2">
        <v>1</v>
      </c>
    </row>
    <row r="11" spans="1:22" s="2" customFormat="1" x14ac:dyDescent="0.25">
      <c r="A11" s="771"/>
      <c r="B11" s="772"/>
      <c r="C11" s="772"/>
      <c r="D11" s="772"/>
      <c r="E11" s="796"/>
      <c r="F11" s="773"/>
      <c r="G11" s="774"/>
      <c r="H11" s="775"/>
      <c r="I11" s="802"/>
      <c r="J11" s="772"/>
      <c r="K11" s="772"/>
      <c r="L11" s="799">
        <v>44286</v>
      </c>
      <c r="M11" s="772"/>
      <c r="N11" s="778">
        <v>87002.880000000005</v>
      </c>
      <c r="O11" s="799">
        <v>44298</v>
      </c>
      <c r="P11" s="779"/>
      <c r="Q11" s="778"/>
      <c r="R11" s="778"/>
      <c r="S11" s="773"/>
      <c r="T11" s="774"/>
      <c r="U11" s="782"/>
      <c r="V11" s="2">
        <v>1</v>
      </c>
    </row>
    <row r="12" spans="1:22" s="2" customFormat="1" x14ac:dyDescent="0.25">
      <c r="A12" s="771"/>
      <c r="B12" s="772"/>
      <c r="C12" s="772"/>
      <c r="D12" s="772"/>
      <c r="E12" s="796"/>
      <c r="F12" s="773"/>
      <c r="G12" s="774"/>
      <c r="H12" s="775"/>
      <c r="I12" s="802"/>
      <c r="J12" s="772"/>
      <c r="K12" s="772"/>
      <c r="L12" s="799">
        <v>44316</v>
      </c>
      <c r="M12" s="772"/>
      <c r="N12" s="778">
        <v>52245.919999999998</v>
      </c>
      <c r="O12" s="799">
        <v>44333</v>
      </c>
      <c r="P12" s="779"/>
      <c r="Q12" s="778"/>
      <c r="R12" s="778"/>
      <c r="S12" s="773"/>
      <c r="T12" s="774"/>
      <c r="U12" s="782"/>
      <c r="V12" s="2">
        <v>1</v>
      </c>
    </row>
    <row r="13" spans="1:22" s="2" customFormat="1" x14ac:dyDescent="0.25">
      <c r="A13" s="783"/>
      <c r="B13" s="784"/>
      <c r="C13" s="784"/>
      <c r="D13" s="784"/>
      <c r="E13" s="797"/>
      <c r="F13" s="785"/>
      <c r="G13" s="786"/>
      <c r="H13" s="787"/>
      <c r="I13" s="803"/>
      <c r="J13" s="784"/>
      <c r="K13" s="784"/>
      <c r="L13" s="800">
        <v>44500</v>
      </c>
      <c r="M13" s="784"/>
      <c r="N13" s="790">
        <v>29185.54</v>
      </c>
      <c r="O13" s="800">
        <v>44517</v>
      </c>
      <c r="P13" s="791"/>
      <c r="Q13" s="790"/>
      <c r="R13" s="790"/>
      <c r="S13" s="785"/>
      <c r="T13" s="786"/>
      <c r="U13" s="794"/>
      <c r="V13" s="2">
        <v>1</v>
      </c>
    </row>
    <row r="14" spans="1:22" x14ac:dyDescent="0.25">
      <c r="V14" s="8">
        <v>2</v>
      </c>
    </row>
  </sheetData>
  <sheetProtection password="EB34" sheet="1" objects="1" scenarios="1" formatCells="0" formatColumns="0" formatRows="0"/>
  <mergeCells count="18">
    <mergeCell ref="K9:K13"/>
    <mergeCell ref="Q2:S2"/>
    <mergeCell ref="E2:F2"/>
    <mergeCell ref="L2:M2"/>
    <mergeCell ref="A9:A13"/>
    <mergeCell ref="M9:M13"/>
    <mergeCell ref="S9:S13"/>
    <mergeCell ref="B9:B13"/>
    <mergeCell ref="C9:C13"/>
    <mergeCell ref="D9:D13"/>
    <mergeCell ref="E9:E13"/>
    <mergeCell ref="F9:F13"/>
    <mergeCell ref="G9:G13"/>
    <mergeCell ref="T9:T13"/>
    <mergeCell ref="U9:U13"/>
    <mergeCell ref="H9:H13"/>
    <mergeCell ref="I9:I13"/>
    <mergeCell ref="J9:J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10"/>
  <sheetViews>
    <sheetView showGridLines="0" topLeftCell="I1" zoomScale="50" zoomScaleNormal="50" workbookViewId="0">
      <pane ySplit="8" topLeftCell="A9" activePane="bottomLeft" state="frozen"/>
      <selection pane="bottomLeft" activeCell="W9" sqref="W9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1" customWidth="1"/>
    <col min="9" max="9" width="24.28515625" style="35" customWidth="1"/>
    <col min="10" max="10" width="28.42578125" style="35" customWidth="1"/>
    <col min="11" max="12" width="19.5703125" style="3" customWidth="1"/>
    <col min="13" max="13" width="25.7109375" style="3" customWidth="1"/>
    <col min="14" max="14" width="24.42578125" style="12" bestFit="1" customWidth="1"/>
    <col min="15" max="15" width="24.42578125" style="3" customWidth="1"/>
    <col min="16" max="16" width="31.5703125" style="3" customWidth="1"/>
    <col min="17" max="18" width="21.85546875" style="11" customWidth="1"/>
    <col min="19" max="19" width="23.5703125" style="3" customWidth="1"/>
    <col min="20" max="20" width="31.28515625" style="12" customWidth="1"/>
    <col min="21" max="21" width="27.7109375" style="12" customWidth="1"/>
    <col min="22" max="22" width="25.42578125" style="11" customWidth="1"/>
    <col min="23" max="23" width="25" style="12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2" customWidth="1"/>
    <col min="28" max="28" width="19.140625" style="11" customWidth="1"/>
    <col min="29" max="29" width="23.140625" style="3" customWidth="1"/>
    <col min="30" max="30" width="9.140625" style="8" hidden="1" customWidth="1"/>
    <col min="31" max="31" width="8.5703125" style="8" hidden="1" customWidth="1"/>
    <col min="32" max="38" width="0" style="8" hidden="1" customWidth="1"/>
    <col min="39" max="16384" width="9.140625" style="8" hidden="1"/>
  </cols>
  <sheetData>
    <row r="1" spans="1:33" ht="19.5" thickBot="1" x14ac:dyDescent="0.3"/>
    <row r="2" spans="1:33" ht="39.950000000000003" customHeight="1" thickBot="1" x14ac:dyDescent="0.3">
      <c r="E2" s="669" t="s">
        <v>139</v>
      </c>
      <c r="F2" s="670"/>
      <c r="G2" s="100">
        <f>SUM(G9:G9999)</f>
        <v>1000000</v>
      </c>
      <c r="H2" s="15"/>
      <c r="O2" s="669" t="s">
        <v>24</v>
      </c>
      <c r="P2" s="670"/>
      <c r="Q2" s="98">
        <f>SUM(Q9:Q9999)</f>
        <v>925000</v>
      </c>
      <c r="T2" s="507" t="s">
        <v>137</v>
      </c>
      <c r="U2" s="509"/>
      <c r="V2" s="87">
        <f>SUM(V9:V9999)</f>
        <v>0</v>
      </c>
      <c r="X2" s="86"/>
      <c r="Y2" s="507" t="s">
        <v>45</v>
      </c>
      <c r="Z2" s="508"/>
      <c r="AA2" s="509"/>
      <c r="AB2" s="88">
        <f>SUM(AB9:AB9999)</f>
        <v>0</v>
      </c>
    </row>
    <row r="3" spans="1:33" x14ac:dyDescent="0.25">
      <c r="F3" s="45"/>
      <c r="G3" s="43"/>
      <c r="H3" s="43"/>
      <c r="I3" s="46"/>
      <c r="J3" s="46"/>
      <c r="K3" s="41"/>
      <c r="L3" s="41"/>
      <c r="M3" s="41"/>
      <c r="N3" s="42"/>
      <c r="O3" s="41"/>
      <c r="P3" s="45"/>
      <c r="Q3" s="43"/>
      <c r="R3" s="44"/>
      <c r="S3" s="41"/>
      <c r="T3" s="38"/>
      <c r="U3" s="38"/>
      <c r="V3" s="43"/>
      <c r="W3" s="42"/>
      <c r="X3" s="38"/>
      <c r="Y3" s="38"/>
      <c r="Z3" s="38"/>
      <c r="AA3" s="38"/>
      <c r="AB3" s="43"/>
    </row>
    <row r="4" spans="1:33" ht="39.950000000000003" customHeight="1" x14ac:dyDescent="0.25">
      <c r="F4" s="45"/>
      <c r="G4" s="43"/>
      <c r="H4" s="43"/>
      <c r="I4" s="46"/>
      <c r="J4" s="46"/>
      <c r="K4" s="41"/>
      <c r="L4" s="41"/>
      <c r="M4" s="41"/>
      <c r="N4" s="42"/>
      <c r="O4" s="41"/>
      <c r="P4" s="45"/>
      <c r="Q4" s="43"/>
      <c r="R4" s="44"/>
      <c r="S4" s="41"/>
      <c r="T4" s="38"/>
      <c r="U4" s="38"/>
      <c r="V4" s="43"/>
      <c r="W4" s="42"/>
      <c r="X4" s="38"/>
      <c r="Y4" s="38"/>
      <c r="Z4" s="38"/>
      <c r="AA4" s="38"/>
      <c r="AB4" s="43"/>
    </row>
    <row r="6" spans="1:33" ht="150" x14ac:dyDescent="0.25">
      <c r="A6" s="23" t="s">
        <v>8</v>
      </c>
      <c r="B6" s="23" t="s">
        <v>47</v>
      </c>
      <c r="C6" s="23" t="s">
        <v>33</v>
      </c>
      <c r="D6" s="23" t="s">
        <v>10</v>
      </c>
      <c r="E6" s="23" t="s">
        <v>11</v>
      </c>
      <c r="F6" s="23" t="s">
        <v>12</v>
      </c>
      <c r="G6" s="31" t="s">
        <v>13</v>
      </c>
      <c r="H6" s="31" t="s">
        <v>34</v>
      </c>
      <c r="I6" s="36" t="s">
        <v>16</v>
      </c>
      <c r="J6" s="36" t="s">
        <v>17</v>
      </c>
      <c r="K6" s="23" t="s">
        <v>14</v>
      </c>
      <c r="L6" s="23" t="s">
        <v>32</v>
      </c>
      <c r="M6" s="23" t="s">
        <v>15</v>
      </c>
      <c r="N6" s="30" t="s">
        <v>0</v>
      </c>
      <c r="O6" s="23" t="s">
        <v>46</v>
      </c>
      <c r="P6" s="23" t="s">
        <v>5</v>
      </c>
      <c r="Q6" s="31" t="s">
        <v>18</v>
      </c>
      <c r="R6" s="31" t="s">
        <v>22</v>
      </c>
      <c r="S6" s="23" t="s">
        <v>19</v>
      </c>
      <c r="T6" s="30" t="s">
        <v>37</v>
      </c>
      <c r="U6" s="30" t="s">
        <v>20</v>
      </c>
      <c r="V6" s="31" t="s">
        <v>23</v>
      </c>
      <c r="W6" s="30" t="s">
        <v>9</v>
      </c>
      <c r="X6" s="28" t="s">
        <v>40</v>
      </c>
      <c r="Y6" s="28" t="s">
        <v>103</v>
      </c>
      <c r="Z6" s="28" t="s">
        <v>104</v>
      </c>
      <c r="AA6" s="27" t="s">
        <v>41</v>
      </c>
      <c r="AB6" s="31" t="s">
        <v>43</v>
      </c>
      <c r="AC6" s="23" t="s">
        <v>42</v>
      </c>
      <c r="AD6" s="16"/>
      <c r="AE6" s="16"/>
      <c r="AF6" s="16"/>
      <c r="AG6" s="16"/>
    </row>
    <row r="7" spans="1:33" x14ac:dyDescent="0.25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  <c r="X7" s="78" t="s">
        <v>132</v>
      </c>
      <c r="Y7" s="78" t="s">
        <v>133</v>
      </c>
      <c r="Z7" s="78" t="s">
        <v>134</v>
      </c>
      <c r="AA7" s="78" t="s">
        <v>135</v>
      </c>
      <c r="AB7" s="78" t="s">
        <v>136</v>
      </c>
      <c r="AC7" s="78" t="s">
        <v>138</v>
      </c>
      <c r="AD7" s="16"/>
      <c r="AE7" s="16"/>
      <c r="AF7" s="16"/>
      <c r="AG7" s="16"/>
    </row>
    <row r="8" spans="1:33" ht="168.75" x14ac:dyDescent="0.25">
      <c r="A8" s="26" t="s">
        <v>36</v>
      </c>
      <c r="B8" s="26"/>
      <c r="C8" s="26" t="s">
        <v>73</v>
      </c>
      <c r="D8" s="26" t="s">
        <v>74</v>
      </c>
      <c r="E8" s="26" t="s">
        <v>71</v>
      </c>
      <c r="F8" s="26" t="s">
        <v>72</v>
      </c>
      <c r="G8" s="24">
        <v>15500.01</v>
      </c>
      <c r="H8" s="24">
        <f>G8-Q8</f>
        <v>6725</v>
      </c>
      <c r="I8" s="37">
        <v>6</v>
      </c>
      <c r="J8" s="37">
        <v>0</v>
      </c>
      <c r="K8" s="26" t="s">
        <v>75</v>
      </c>
      <c r="L8" s="26" t="s">
        <v>76</v>
      </c>
      <c r="M8" s="26" t="s">
        <v>77</v>
      </c>
      <c r="N8" s="25">
        <v>43655</v>
      </c>
      <c r="O8" s="26" t="s">
        <v>79</v>
      </c>
      <c r="P8" s="26" t="s">
        <v>78</v>
      </c>
      <c r="Q8" s="24">
        <v>8775.01</v>
      </c>
      <c r="R8" s="24">
        <f>Q8-V8</f>
        <v>0</v>
      </c>
      <c r="S8" s="26" t="s">
        <v>80</v>
      </c>
      <c r="T8" s="25">
        <v>43677</v>
      </c>
      <c r="U8" s="25" t="s">
        <v>81</v>
      </c>
      <c r="V8" s="24">
        <v>8775.01</v>
      </c>
      <c r="W8" s="25">
        <v>43696</v>
      </c>
      <c r="X8" s="26"/>
      <c r="Y8" s="72"/>
      <c r="Z8" s="72"/>
      <c r="AA8" s="25"/>
      <c r="AB8" s="24"/>
      <c r="AC8" s="26" t="s">
        <v>64</v>
      </c>
    </row>
    <row r="9" spans="1:33" s="117" customFormat="1" x14ac:dyDescent="0.25">
      <c r="A9" s="357">
        <v>1</v>
      </c>
      <c r="B9" s="353"/>
      <c r="C9" s="353"/>
      <c r="D9" s="353"/>
      <c r="E9" s="353"/>
      <c r="F9" s="353"/>
      <c r="G9" s="355">
        <v>1000000</v>
      </c>
      <c r="H9" s="356">
        <f>IF(AD9 = 1, G9 - Q9,0)</f>
        <v>75000</v>
      </c>
      <c r="I9" s="355">
        <v>3</v>
      </c>
      <c r="J9" s="355">
        <v>0</v>
      </c>
      <c r="K9" s="353" t="s">
        <v>278</v>
      </c>
      <c r="L9" s="353"/>
      <c r="M9" s="353"/>
      <c r="N9" s="704">
        <v>44531</v>
      </c>
      <c r="O9" s="353"/>
      <c r="P9" s="353"/>
      <c r="Q9" s="355">
        <v>925000</v>
      </c>
      <c r="R9" s="356">
        <f>IF(AD9 = 1, Q9 + SUM(Y9:Y9) - SUM(Z9:Z9) - SUM(V9:V9) - AB9,0)</f>
        <v>925000</v>
      </c>
      <c r="S9" s="353" t="s">
        <v>429</v>
      </c>
      <c r="T9" s="704"/>
      <c r="U9" s="358" t="s">
        <v>430</v>
      </c>
      <c r="V9" s="355"/>
      <c r="W9" s="704"/>
      <c r="X9" s="353"/>
      <c r="Y9" s="355"/>
      <c r="Z9" s="355"/>
      <c r="AA9" s="358"/>
      <c r="AB9" s="355"/>
      <c r="AC9" s="353"/>
      <c r="AD9" s="117">
        <v>1</v>
      </c>
    </row>
    <row r="10" spans="1:33" x14ac:dyDescent="0.25">
      <c r="AD10" s="8">
        <v>2</v>
      </c>
    </row>
  </sheetData>
  <sheetProtection password="EB34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1" customWidth="1"/>
    <col min="8" max="8" width="22.28515625" style="8" customWidth="1"/>
    <col min="9" max="9" width="24.28515625" style="35" customWidth="1"/>
    <col min="10" max="10" width="28.42578125" style="35" customWidth="1"/>
    <col min="11" max="12" width="19.5703125" style="3" customWidth="1"/>
    <col min="13" max="13" width="25.7109375" style="3" customWidth="1"/>
    <col min="14" max="14" width="24.42578125" style="12" bestFit="1" customWidth="1"/>
    <col min="15" max="15" width="24.42578125" style="3" customWidth="1"/>
    <col min="16" max="16" width="31.5703125" style="3" customWidth="1"/>
    <col min="17" max="17" width="27" style="11" customWidth="1"/>
    <col min="18" max="18" width="21.85546875" style="8" customWidth="1"/>
    <col min="19" max="19" width="23.5703125" style="8" customWidth="1"/>
    <col min="20" max="20" width="32.42578125" style="8" customWidth="1"/>
    <col min="21" max="21" width="27.7109375" style="8" customWidth="1"/>
    <col min="22" max="22" width="25.42578125" style="8" customWidth="1"/>
    <col min="23" max="23" width="25" style="8" customWidth="1"/>
    <col min="24" max="26" width="25.140625" style="8" customWidth="1"/>
    <col min="27" max="27" width="23.85546875" style="8" customWidth="1"/>
    <col min="28" max="28" width="20.28515625" style="8" customWidth="1"/>
    <col min="29" max="29" width="20" style="8" customWidth="1"/>
    <col min="30" max="38" width="0" style="8" hidden="1" customWidth="1"/>
    <col min="39" max="16384" width="9.140625" style="8" hidden="1"/>
  </cols>
  <sheetData>
    <row r="1" spans="1:33" ht="19.5" thickBot="1" x14ac:dyDescent="0.3">
      <c r="T1" s="16"/>
    </row>
    <row r="2" spans="1:33" ht="39.950000000000003" customHeight="1" thickBot="1" x14ac:dyDescent="0.3">
      <c r="E2" s="669" t="s">
        <v>139</v>
      </c>
      <c r="F2" s="670"/>
      <c r="G2" s="100">
        <f>SUM(G9:G9996)</f>
        <v>0</v>
      </c>
      <c r="H2" s="15"/>
      <c r="O2" s="669" t="s">
        <v>24</v>
      </c>
      <c r="P2" s="670"/>
      <c r="Q2" s="98">
        <f>SUM(Q9:Q9996)</f>
        <v>0</v>
      </c>
      <c r="T2" s="507" t="s">
        <v>137</v>
      </c>
      <c r="U2" s="509"/>
      <c r="V2" s="87">
        <f>SUM(V9:V9996)</f>
        <v>0</v>
      </c>
      <c r="X2" s="86"/>
      <c r="Y2" s="507" t="s">
        <v>45</v>
      </c>
      <c r="Z2" s="508"/>
      <c r="AA2" s="509"/>
      <c r="AB2" s="88">
        <f>SUM(AB9:AB9996)</f>
        <v>0</v>
      </c>
    </row>
    <row r="4" spans="1:33" ht="39.950000000000003" customHeight="1" x14ac:dyDescent="0.25"/>
    <row r="6" spans="1:33" ht="150" x14ac:dyDescent="0.25">
      <c r="A6" s="23" t="s">
        <v>8</v>
      </c>
      <c r="B6" s="23" t="s">
        <v>47</v>
      </c>
      <c r="C6" s="23" t="s">
        <v>33</v>
      </c>
      <c r="D6" s="23" t="s">
        <v>10</v>
      </c>
      <c r="E6" s="23" t="s">
        <v>11</v>
      </c>
      <c r="F6" s="23" t="s">
        <v>12</v>
      </c>
      <c r="G6" s="31" t="s">
        <v>13</v>
      </c>
      <c r="H6" s="1" t="s">
        <v>34</v>
      </c>
      <c r="I6" s="36" t="s">
        <v>16</v>
      </c>
      <c r="J6" s="36" t="s">
        <v>17</v>
      </c>
      <c r="K6" s="23" t="s">
        <v>14</v>
      </c>
      <c r="L6" s="23" t="s">
        <v>32</v>
      </c>
      <c r="M6" s="23" t="s">
        <v>15</v>
      </c>
      <c r="N6" s="30" t="s">
        <v>0</v>
      </c>
      <c r="O6" s="23" t="s">
        <v>46</v>
      </c>
      <c r="P6" s="23" t="s">
        <v>5</v>
      </c>
      <c r="Q6" s="31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7" t="s">
        <v>40</v>
      </c>
      <c r="Y6" s="17" t="s">
        <v>103</v>
      </c>
      <c r="Z6" s="17" t="s">
        <v>104</v>
      </c>
      <c r="AA6" s="17" t="s">
        <v>41</v>
      </c>
      <c r="AB6" s="1" t="s">
        <v>43</v>
      </c>
      <c r="AC6" s="1" t="s">
        <v>42</v>
      </c>
      <c r="AD6" s="16"/>
      <c r="AE6" s="16"/>
      <c r="AF6" s="16"/>
      <c r="AG6" s="16"/>
    </row>
    <row r="7" spans="1:33" x14ac:dyDescent="0.25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  <c r="X7" s="78" t="s">
        <v>132</v>
      </c>
      <c r="Y7" s="78" t="s">
        <v>133</v>
      </c>
      <c r="Z7" s="78" t="s">
        <v>134</v>
      </c>
      <c r="AA7" s="78" t="s">
        <v>135</v>
      </c>
      <c r="AB7" s="78" t="s">
        <v>136</v>
      </c>
      <c r="AC7" s="78" t="s">
        <v>138</v>
      </c>
      <c r="AD7" s="16"/>
      <c r="AE7" s="16"/>
      <c r="AF7" s="16"/>
      <c r="AG7" s="16"/>
    </row>
    <row r="8" spans="1:33" ht="168.75" x14ac:dyDescent="0.25">
      <c r="A8" s="72" t="s">
        <v>36</v>
      </c>
      <c r="B8" s="72"/>
      <c r="C8" s="72" t="s">
        <v>73</v>
      </c>
      <c r="D8" s="72" t="s">
        <v>74</v>
      </c>
      <c r="E8" s="72" t="s">
        <v>71</v>
      </c>
      <c r="F8" s="72" t="s">
        <v>72</v>
      </c>
      <c r="G8" s="74">
        <v>15500.01</v>
      </c>
      <c r="H8" s="74">
        <f>G8-Q8</f>
        <v>6725</v>
      </c>
      <c r="I8" s="97">
        <v>6</v>
      </c>
      <c r="J8" s="97">
        <v>0</v>
      </c>
      <c r="K8" s="72" t="s">
        <v>75</v>
      </c>
      <c r="L8" s="72" t="s">
        <v>76</v>
      </c>
      <c r="M8" s="72" t="s">
        <v>77</v>
      </c>
      <c r="N8" s="73">
        <v>43655</v>
      </c>
      <c r="O8" s="72" t="s">
        <v>79</v>
      </c>
      <c r="P8" s="72" t="s">
        <v>78</v>
      </c>
      <c r="Q8" s="74">
        <v>8775.01</v>
      </c>
      <c r="R8" s="74">
        <f>Q8-V8</f>
        <v>0</v>
      </c>
      <c r="S8" s="72" t="s">
        <v>80</v>
      </c>
      <c r="T8" s="73">
        <v>43677</v>
      </c>
      <c r="U8" s="72" t="s">
        <v>81</v>
      </c>
      <c r="V8" s="74">
        <v>8775.01</v>
      </c>
      <c r="W8" s="73">
        <v>43696</v>
      </c>
      <c r="X8" s="72"/>
      <c r="Y8" s="72"/>
      <c r="Z8" s="72"/>
      <c r="AA8" s="72"/>
      <c r="AB8" s="74"/>
      <c r="AC8" s="75" t="s">
        <v>64</v>
      </c>
    </row>
    <row r="9" spans="1:33" x14ac:dyDescent="0.25">
      <c r="A9" s="14"/>
      <c r="B9" s="14"/>
      <c r="C9" s="14"/>
      <c r="D9" s="14"/>
      <c r="E9" s="14"/>
      <c r="F9" s="14"/>
      <c r="G9" s="15"/>
      <c r="H9" s="16"/>
      <c r="I9" s="105"/>
      <c r="J9" s="105"/>
      <c r="K9" s="14"/>
      <c r="L9" s="14"/>
      <c r="M9" s="14"/>
      <c r="N9" s="29"/>
      <c r="O9" s="14"/>
      <c r="P9" s="14"/>
      <c r="Q9" s="1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8">
        <v>2</v>
      </c>
    </row>
  </sheetData>
  <sheetProtection password="EB34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G17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8" customWidth="1"/>
    <col min="2" max="2" width="47.140625" style="8" customWidth="1"/>
    <col min="3" max="3" width="33.28515625" style="8" customWidth="1"/>
    <col min="4" max="6" width="33.7109375" style="8" customWidth="1"/>
    <col min="7" max="8" width="22.28515625" style="8" customWidth="1"/>
    <col min="9" max="9" width="24.28515625" style="8" customWidth="1"/>
    <col min="10" max="10" width="28.42578125" style="8" customWidth="1"/>
    <col min="11" max="12" width="19.5703125" style="8" customWidth="1"/>
    <col min="13" max="13" width="25.7109375" style="8" customWidth="1"/>
    <col min="14" max="14" width="24.42578125" style="8" bestFit="1" customWidth="1"/>
    <col min="15" max="15" width="24.42578125" style="8" customWidth="1"/>
    <col min="16" max="16" width="31.5703125" style="8" customWidth="1"/>
    <col min="17" max="18" width="21.85546875" style="8" customWidth="1"/>
    <col min="19" max="19" width="23.5703125" style="8" customWidth="1"/>
    <col min="20" max="20" width="31.85546875" style="8" customWidth="1"/>
    <col min="21" max="21" width="27.7109375" style="8" customWidth="1"/>
    <col min="22" max="22" width="25.42578125" style="8" customWidth="1"/>
    <col min="23" max="23" width="25" style="8" customWidth="1"/>
    <col min="24" max="26" width="29.42578125" style="8" customWidth="1"/>
    <col min="27" max="27" width="26.28515625" style="8" customWidth="1"/>
    <col min="28" max="28" width="25.140625" style="8" customWidth="1"/>
    <col min="29" max="29" width="19.140625" style="8" customWidth="1"/>
    <col min="30" max="16384" width="9.140625" style="8" hidden="1"/>
  </cols>
  <sheetData>
    <row r="1" spans="1:33" ht="19.5" thickBot="1" x14ac:dyDescent="0.3"/>
    <row r="2" spans="1:33" ht="39.950000000000003" customHeight="1" thickBot="1" x14ac:dyDescent="0.3">
      <c r="E2" s="669" t="s">
        <v>139</v>
      </c>
      <c r="F2" s="670"/>
      <c r="G2" s="100">
        <f>SUM(G9:G9995)</f>
        <v>0</v>
      </c>
      <c r="H2" s="15"/>
      <c r="O2" s="669" t="s">
        <v>24</v>
      </c>
      <c r="P2" s="670"/>
      <c r="Q2" s="98">
        <f>SUM(Q9:Q9995)</f>
        <v>0</v>
      </c>
      <c r="T2" s="507" t="s">
        <v>137</v>
      </c>
      <c r="U2" s="509"/>
      <c r="V2" s="87">
        <f>SUM(V9:V9995)</f>
        <v>0</v>
      </c>
      <c r="X2" s="86"/>
      <c r="Y2" s="507" t="s">
        <v>45</v>
      </c>
      <c r="Z2" s="508"/>
      <c r="AA2" s="509"/>
      <c r="AB2" s="88">
        <f>SUM(AB9:AB9995)</f>
        <v>0</v>
      </c>
    </row>
    <row r="4" spans="1:33" ht="39.950000000000003" customHeight="1" x14ac:dyDescent="0.25">
      <c r="P4" s="691"/>
      <c r="Q4" s="691"/>
      <c r="R4" s="691"/>
      <c r="T4" s="102"/>
      <c r="U4" s="102"/>
    </row>
    <row r="6" spans="1:33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7" t="s">
        <v>40</v>
      </c>
      <c r="Y6" s="17" t="s">
        <v>103</v>
      </c>
      <c r="Z6" s="17" t="s">
        <v>104</v>
      </c>
      <c r="AA6" s="17" t="s">
        <v>41</v>
      </c>
      <c r="AB6" s="1" t="s">
        <v>43</v>
      </c>
      <c r="AC6" s="1" t="s">
        <v>42</v>
      </c>
      <c r="AD6" s="16"/>
      <c r="AE6" s="16"/>
      <c r="AF6" s="16"/>
      <c r="AG6" s="16"/>
    </row>
    <row r="7" spans="1:33" x14ac:dyDescent="0.25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  <c r="O7" s="94">
        <v>15</v>
      </c>
      <c r="P7" s="94">
        <v>16</v>
      </c>
      <c r="Q7" s="94">
        <v>17</v>
      </c>
      <c r="R7" s="94">
        <v>18</v>
      </c>
      <c r="S7" s="94">
        <v>19</v>
      </c>
      <c r="T7" s="94">
        <v>20</v>
      </c>
      <c r="U7" s="94">
        <v>21</v>
      </c>
      <c r="V7" s="94">
        <v>22</v>
      </c>
      <c r="W7" s="94">
        <v>23</v>
      </c>
      <c r="X7" s="94">
        <v>24</v>
      </c>
      <c r="Y7" s="94">
        <v>25</v>
      </c>
      <c r="Z7" s="94">
        <v>26</v>
      </c>
      <c r="AA7" s="94">
        <v>27</v>
      </c>
      <c r="AB7" s="94">
        <v>28</v>
      </c>
      <c r="AC7" s="94">
        <v>29</v>
      </c>
      <c r="AD7" s="16"/>
      <c r="AE7" s="16"/>
      <c r="AF7" s="16"/>
      <c r="AG7" s="16"/>
    </row>
    <row r="8" spans="1:33" s="2" customFormat="1" ht="168.75" x14ac:dyDescent="0.25">
      <c r="A8" s="26" t="s">
        <v>36</v>
      </c>
      <c r="B8" s="26"/>
      <c r="C8" s="26" t="s">
        <v>73</v>
      </c>
      <c r="D8" s="26" t="s">
        <v>74</v>
      </c>
      <c r="E8" s="26" t="s">
        <v>71</v>
      </c>
      <c r="F8" s="26" t="s">
        <v>72</v>
      </c>
      <c r="G8" s="24">
        <v>15500.01</v>
      </c>
      <c r="H8" s="24">
        <f>G8-Q8</f>
        <v>6725</v>
      </c>
      <c r="I8" s="37">
        <v>6</v>
      </c>
      <c r="J8" s="37">
        <v>0</v>
      </c>
      <c r="K8" s="26" t="s">
        <v>75</v>
      </c>
      <c r="L8" s="26" t="s">
        <v>76</v>
      </c>
      <c r="M8" s="26" t="s">
        <v>77</v>
      </c>
      <c r="N8" s="25">
        <v>43655</v>
      </c>
      <c r="O8" s="25" t="s">
        <v>79</v>
      </c>
      <c r="P8" s="26" t="s">
        <v>78</v>
      </c>
      <c r="Q8" s="24">
        <v>8775.01</v>
      </c>
      <c r="R8" s="24">
        <f>Q8-V8</f>
        <v>0</v>
      </c>
      <c r="S8" s="26" t="s">
        <v>80</v>
      </c>
      <c r="T8" s="25">
        <v>43677</v>
      </c>
      <c r="U8" s="26" t="s">
        <v>81</v>
      </c>
      <c r="V8" s="24">
        <v>8775.01</v>
      </c>
      <c r="W8" s="25">
        <v>43696</v>
      </c>
      <c r="X8" s="26"/>
      <c r="Y8" s="72"/>
      <c r="Z8" s="72"/>
      <c r="AA8" s="26"/>
      <c r="AB8" s="24"/>
      <c r="AC8" s="13" t="s">
        <v>64</v>
      </c>
    </row>
    <row r="9" spans="1:33" hidden="1" x14ac:dyDescent="0.25">
      <c r="M9" s="3"/>
      <c r="AD9" s="8">
        <v>2</v>
      </c>
    </row>
    <row r="10" spans="1:33" hidden="1" x14ac:dyDescent="0.25">
      <c r="M10" s="3"/>
    </row>
    <row r="11" spans="1:33" hidden="1" x14ac:dyDescent="0.25">
      <c r="M11" s="3"/>
    </row>
    <row r="12" spans="1:33" hidden="1" x14ac:dyDescent="0.25">
      <c r="M12" s="3"/>
    </row>
    <row r="13" spans="1:33" hidden="1" x14ac:dyDescent="0.25">
      <c r="M13" s="3"/>
    </row>
    <row r="14" spans="1:33" hidden="1" x14ac:dyDescent="0.25">
      <c r="M14" s="3"/>
    </row>
    <row r="15" spans="1:33" hidden="1" x14ac:dyDescent="0.25">
      <c r="M15" s="3"/>
    </row>
    <row r="16" spans="1:33" hidden="1" x14ac:dyDescent="0.25">
      <c r="M16" s="3"/>
    </row>
    <row r="17" spans="13:13" hidden="1" x14ac:dyDescent="0.25">
      <c r="M17" s="3"/>
    </row>
  </sheetData>
  <sheetProtection password="EB34" sheet="1" objects="1" scenarios="1" formatCells="0" formatColumns="0" formatRows="0"/>
  <mergeCells count="5">
    <mergeCell ref="P4:R4"/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RowHeight="15.75" x14ac:dyDescent="0.25"/>
  <cols>
    <col min="1" max="1" width="15.28515625" style="52" customWidth="1"/>
    <col min="2" max="2" width="17.42578125" style="50" customWidth="1"/>
    <col min="3" max="3" width="17.28515625" style="50" customWidth="1"/>
    <col min="4" max="4" width="38.85546875" style="50" customWidth="1"/>
    <col min="5" max="5" width="15.5703125" style="50" bestFit="1" customWidth="1"/>
    <col min="6" max="11" width="16.140625" style="50" customWidth="1"/>
    <col min="12" max="16384" width="9.140625" style="50"/>
  </cols>
  <sheetData>
    <row r="1" spans="1:11" x14ac:dyDescent="0.25">
      <c r="A1" s="65">
        <v>144</v>
      </c>
      <c r="B1" s="65">
        <v>63</v>
      </c>
      <c r="C1" s="65">
        <v>9</v>
      </c>
      <c r="D1" s="694" t="s">
        <v>50</v>
      </c>
      <c r="E1" s="48"/>
      <c r="F1" s="80" t="s">
        <v>108</v>
      </c>
      <c r="G1" s="84" t="s">
        <v>108</v>
      </c>
      <c r="H1" s="83" t="s">
        <v>108</v>
      </c>
      <c r="I1" s="82" t="s">
        <v>108</v>
      </c>
      <c r="J1" s="81" t="s">
        <v>108</v>
      </c>
      <c r="K1" s="85" t="s">
        <v>108</v>
      </c>
    </row>
    <row r="2" spans="1:11" x14ac:dyDescent="0.25">
      <c r="A2" s="66" t="s">
        <v>84</v>
      </c>
      <c r="B2" s="65" t="s">
        <v>85</v>
      </c>
      <c r="C2" s="65" t="s">
        <v>86</v>
      </c>
      <c r="D2" s="695"/>
      <c r="E2" s="48"/>
      <c r="F2" s="80">
        <v>68</v>
      </c>
      <c r="G2" s="84">
        <v>30</v>
      </c>
      <c r="H2" s="83">
        <v>1</v>
      </c>
      <c r="I2" s="82">
        <v>1</v>
      </c>
      <c r="J2" s="81">
        <v>0</v>
      </c>
      <c r="K2" s="85">
        <v>0</v>
      </c>
    </row>
    <row r="3" spans="1:11" x14ac:dyDescent="0.25">
      <c r="A3" s="51"/>
      <c r="B3" s="47"/>
      <c r="C3" s="47"/>
      <c r="D3" s="47"/>
      <c r="E3" s="48"/>
      <c r="F3" s="80" t="s">
        <v>109</v>
      </c>
      <c r="G3" s="84" t="s">
        <v>109</v>
      </c>
      <c r="H3" s="83" t="s">
        <v>109</v>
      </c>
      <c r="I3" s="82" t="s">
        <v>109</v>
      </c>
      <c r="J3" s="81" t="s">
        <v>109</v>
      </c>
      <c r="K3" s="85" t="s">
        <v>109</v>
      </c>
    </row>
    <row r="4" spans="1:11" x14ac:dyDescent="0.25">
      <c r="A4" s="61">
        <v>174</v>
      </c>
      <c r="B4" s="62">
        <v>30</v>
      </c>
      <c r="C4" s="62">
        <v>9</v>
      </c>
      <c r="D4" s="696" t="s">
        <v>102</v>
      </c>
      <c r="E4" s="48"/>
      <c r="F4" s="80">
        <v>69</v>
      </c>
      <c r="G4" s="84">
        <v>31</v>
      </c>
      <c r="H4" s="83">
        <v>2</v>
      </c>
      <c r="I4" s="82">
        <v>2</v>
      </c>
      <c r="J4" s="81">
        <v>0</v>
      </c>
      <c r="K4" s="85">
        <v>0</v>
      </c>
    </row>
    <row r="5" spans="1:11" x14ac:dyDescent="0.25">
      <c r="A5" s="61" t="s">
        <v>89</v>
      </c>
      <c r="B5" s="62" t="s">
        <v>88</v>
      </c>
      <c r="C5" s="62" t="s">
        <v>87</v>
      </c>
      <c r="D5" s="697"/>
      <c r="E5" s="48"/>
      <c r="F5" s="48"/>
      <c r="G5" s="48"/>
      <c r="H5" s="49"/>
      <c r="I5" s="49"/>
      <c r="J5" s="49"/>
    </row>
    <row r="6" spans="1:11" x14ac:dyDescent="0.25">
      <c r="A6" s="51"/>
      <c r="B6" s="47"/>
      <c r="C6" s="47"/>
      <c r="D6" s="47"/>
      <c r="E6" s="48"/>
      <c r="F6" s="48"/>
      <c r="G6" s="48"/>
      <c r="H6" s="49"/>
      <c r="I6" s="49"/>
      <c r="J6" s="49"/>
    </row>
    <row r="7" spans="1:11" x14ac:dyDescent="0.25">
      <c r="A7" s="63">
        <v>13</v>
      </c>
      <c r="B7" s="64">
        <v>1</v>
      </c>
      <c r="C7" s="64">
        <v>9</v>
      </c>
      <c r="D7" s="698" t="s">
        <v>52</v>
      </c>
      <c r="E7" s="48"/>
      <c r="F7" s="48"/>
      <c r="G7" s="48"/>
      <c r="H7" s="49"/>
      <c r="I7" s="49"/>
      <c r="J7" s="49"/>
    </row>
    <row r="8" spans="1:11" x14ac:dyDescent="0.25">
      <c r="A8" s="63" t="s">
        <v>90</v>
      </c>
      <c r="B8" s="64" t="s">
        <v>91</v>
      </c>
      <c r="C8" s="64" t="s">
        <v>92</v>
      </c>
      <c r="D8" s="699"/>
      <c r="E8" s="48"/>
      <c r="F8" s="48"/>
      <c r="G8" s="48"/>
      <c r="H8" s="49"/>
      <c r="I8" s="49"/>
      <c r="J8" s="49"/>
    </row>
    <row r="9" spans="1:11" x14ac:dyDescent="0.25">
      <c r="A9" s="51"/>
      <c r="B9" s="47"/>
      <c r="C9" s="47"/>
      <c r="D9" s="47"/>
      <c r="E9" s="47"/>
      <c r="F9" s="47"/>
      <c r="G9" s="47"/>
    </row>
    <row r="10" spans="1:11" x14ac:dyDescent="0.25">
      <c r="A10" s="59">
        <v>9</v>
      </c>
      <c r="B10" s="60">
        <v>1</v>
      </c>
      <c r="C10" s="60">
        <v>9</v>
      </c>
      <c r="D10" s="700" t="s">
        <v>31</v>
      </c>
      <c r="E10" s="47"/>
      <c r="F10" s="47"/>
      <c r="G10" s="47"/>
    </row>
    <row r="11" spans="1:11" x14ac:dyDescent="0.25">
      <c r="A11" s="59" t="s">
        <v>93</v>
      </c>
      <c r="B11" s="60" t="s">
        <v>94</v>
      </c>
      <c r="C11" s="60" t="s">
        <v>95</v>
      </c>
      <c r="D11" s="701"/>
      <c r="E11" s="47"/>
      <c r="F11" s="47"/>
      <c r="G11" s="47"/>
    </row>
    <row r="12" spans="1:11" x14ac:dyDescent="0.25">
      <c r="A12" s="51"/>
      <c r="B12" s="47"/>
      <c r="C12" s="47"/>
      <c r="D12" s="47"/>
      <c r="E12" s="47"/>
      <c r="F12" s="47"/>
      <c r="G12" s="47"/>
    </row>
    <row r="13" spans="1:11" x14ac:dyDescent="0.25">
      <c r="A13" s="57">
        <v>8</v>
      </c>
      <c r="B13" s="58">
        <v>0</v>
      </c>
      <c r="C13" s="58">
        <v>9</v>
      </c>
      <c r="D13" s="702" t="s">
        <v>49</v>
      </c>
      <c r="E13" s="47"/>
      <c r="F13" s="47"/>
      <c r="G13" s="47"/>
    </row>
    <row r="14" spans="1:11" x14ac:dyDescent="0.25">
      <c r="A14" s="57" t="s">
        <v>96</v>
      </c>
      <c r="B14" s="58" t="s">
        <v>97</v>
      </c>
      <c r="C14" s="58" t="s">
        <v>98</v>
      </c>
      <c r="D14" s="703"/>
      <c r="E14" s="47"/>
      <c r="F14" s="47"/>
      <c r="G14" s="47"/>
    </row>
    <row r="15" spans="1:11" x14ac:dyDescent="0.25">
      <c r="A15" s="51"/>
      <c r="B15" s="47"/>
      <c r="C15" s="47"/>
      <c r="D15" s="47"/>
      <c r="E15" s="47"/>
      <c r="F15" s="47"/>
      <c r="G15" s="47"/>
    </row>
    <row r="16" spans="1:11" x14ac:dyDescent="0.25">
      <c r="A16" s="55">
        <v>8</v>
      </c>
      <c r="B16" s="56">
        <v>0</v>
      </c>
      <c r="C16" s="56">
        <v>9</v>
      </c>
      <c r="D16" s="692" t="s">
        <v>83</v>
      </c>
      <c r="E16" s="47"/>
      <c r="F16" s="47"/>
      <c r="G16" s="47"/>
    </row>
    <row r="17" spans="1:4" x14ac:dyDescent="0.25">
      <c r="A17" s="55" t="s">
        <v>99</v>
      </c>
      <c r="B17" s="56" t="s">
        <v>100</v>
      </c>
      <c r="C17" s="56" t="s">
        <v>101</v>
      </c>
      <c r="D17" s="693"/>
    </row>
    <row r="18" spans="1:4" x14ac:dyDescent="0.25">
      <c r="A18" s="51"/>
    </row>
    <row r="19" spans="1:4" x14ac:dyDescent="0.25">
      <c r="A19" s="51"/>
    </row>
    <row r="20" spans="1:4" x14ac:dyDescent="0.25">
      <c r="A20" s="51"/>
    </row>
    <row r="21" spans="1:4" x14ac:dyDescent="0.25">
      <c r="A21" s="51"/>
    </row>
    <row r="22" spans="1:4" x14ac:dyDescent="0.25">
      <c r="A22" s="51"/>
    </row>
    <row r="23" spans="1:4" x14ac:dyDescent="0.25">
      <c r="A23" s="51"/>
    </row>
    <row r="24" spans="1:4" x14ac:dyDescent="0.25">
      <c r="A24" s="51"/>
    </row>
    <row r="25" spans="1:4" x14ac:dyDescent="0.25">
      <c r="A25" s="51"/>
    </row>
    <row r="26" spans="1:4" x14ac:dyDescent="0.25">
      <c r="A26" s="51"/>
    </row>
    <row r="27" spans="1:4" x14ac:dyDescent="0.25">
      <c r="A27" s="51"/>
    </row>
    <row r="28" spans="1:4" x14ac:dyDescent="0.25">
      <c r="A28" s="51"/>
    </row>
    <row r="29" spans="1:4" x14ac:dyDescent="0.25">
      <c r="A29" s="51"/>
    </row>
    <row r="30" spans="1:4" x14ac:dyDescent="0.25">
      <c r="A30" s="51"/>
    </row>
    <row r="31" spans="1:4" x14ac:dyDescent="0.25">
      <c r="A31" s="51"/>
    </row>
    <row r="32" spans="1:4" x14ac:dyDescent="0.25">
      <c r="A32" s="51"/>
    </row>
    <row r="33" spans="1:1" x14ac:dyDescent="0.25">
      <c r="A33" s="51"/>
    </row>
    <row r="34" spans="1:1" x14ac:dyDescent="0.25">
      <c r="A34" s="51"/>
    </row>
    <row r="35" spans="1:1" x14ac:dyDescent="0.25">
      <c r="A35" s="51"/>
    </row>
    <row r="36" spans="1:1" x14ac:dyDescent="0.25">
      <c r="A36" s="51"/>
    </row>
    <row r="37" spans="1:1" x14ac:dyDescent="0.25">
      <c r="A37" s="51"/>
    </row>
    <row r="38" spans="1:1" x14ac:dyDescent="0.25">
      <c r="A38" s="51"/>
    </row>
    <row r="39" spans="1:1" x14ac:dyDescent="0.25">
      <c r="A39" s="51"/>
    </row>
    <row r="40" spans="1:1" x14ac:dyDescent="0.25">
      <c r="A40" s="51"/>
    </row>
    <row r="41" spans="1:1" x14ac:dyDescent="0.25">
      <c r="A41" s="51"/>
    </row>
    <row r="42" spans="1:1" x14ac:dyDescent="0.25">
      <c r="A42" s="51"/>
    </row>
    <row r="43" spans="1:1" x14ac:dyDescent="0.25">
      <c r="A43" s="51"/>
    </row>
    <row r="44" spans="1:1" x14ac:dyDescent="0.25">
      <c r="A44" s="51"/>
    </row>
    <row r="45" spans="1:1" x14ac:dyDescent="0.25">
      <c r="A45" s="51"/>
    </row>
    <row r="81" spans="1:1" x14ac:dyDescent="0.25">
      <c r="A81" s="53"/>
    </row>
    <row r="82" spans="1:1" x14ac:dyDescent="0.25">
      <c r="A82" s="53"/>
    </row>
    <row r="83" spans="1:1" x14ac:dyDescent="0.25">
      <c r="A83" s="54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бухгалтер</cp:lastModifiedBy>
  <cp:lastPrinted>2021-12-06T09:49:32Z</cp:lastPrinted>
  <dcterms:created xsi:type="dcterms:W3CDTF">2017-01-25T04:28:39Z</dcterms:created>
  <dcterms:modified xsi:type="dcterms:W3CDTF">2021-12-06T10:06:23Z</dcterms:modified>
</cp:coreProperties>
</file>