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60" windowWidth="19200" windowHeight="7290"/>
  </bookViews>
  <sheets>
    <sheet name="Меню лето" sheetId="2" r:id="rId1"/>
    <sheet name="Сырьё лето" sheetId="3" r:id="rId2"/>
  </sheets>
  <calcPr calcId="145621"/>
</workbook>
</file>

<file path=xl/calcChain.xml><?xml version="1.0" encoding="utf-8"?>
<calcChain xmlns="http://schemas.openxmlformats.org/spreadsheetml/2006/main">
  <c r="H180" i="2" l="1"/>
  <c r="F180" i="2"/>
  <c r="E180" i="2"/>
  <c r="D180" i="2"/>
  <c r="G180" i="2" l="1"/>
  <c r="R139" i="2"/>
  <c r="Q139" i="2"/>
  <c r="P139" i="2"/>
  <c r="O139" i="2"/>
  <c r="N139" i="2"/>
  <c r="M139" i="2"/>
  <c r="L139" i="2"/>
  <c r="K139" i="2"/>
  <c r="J139" i="2"/>
  <c r="G138" i="2"/>
  <c r="C139" i="2"/>
  <c r="R119" i="2"/>
  <c r="Q119" i="2"/>
  <c r="O119" i="2"/>
  <c r="N119" i="2"/>
  <c r="M119" i="2"/>
  <c r="L119" i="2"/>
  <c r="K119" i="2"/>
  <c r="J119" i="2"/>
  <c r="I119" i="2"/>
  <c r="H119" i="2"/>
  <c r="C119" i="2"/>
  <c r="G93" i="2"/>
  <c r="R38" i="2"/>
  <c r="Q38" i="2"/>
  <c r="C38" i="2"/>
  <c r="F213" i="2" l="1"/>
  <c r="E213" i="2"/>
  <c r="D213" i="2"/>
  <c r="L212" i="2"/>
  <c r="F212" i="2"/>
  <c r="E212" i="2"/>
  <c r="E214" i="2" s="1"/>
  <c r="D212" i="2"/>
  <c r="G211" i="2"/>
  <c r="G210" i="2"/>
  <c r="G209" i="2"/>
  <c r="G208" i="2"/>
  <c r="G207" i="2"/>
  <c r="G206" i="2"/>
  <c r="E191" i="2"/>
  <c r="G191" i="2" s="1"/>
  <c r="G190" i="2"/>
  <c r="G188" i="2"/>
  <c r="G187" i="2"/>
  <c r="G185" i="2"/>
  <c r="R172" i="2"/>
  <c r="Q172" i="2"/>
  <c r="P172" i="2"/>
  <c r="O172" i="2"/>
  <c r="N172" i="2"/>
  <c r="M172" i="2"/>
  <c r="L172" i="2"/>
  <c r="K172" i="2"/>
  <c r="J172" i="2"/>
  <c r="I172" i="2"/>
  <c r="H172" i="2"/>
  <c r="F172" i="2"/>
  <c r="E172" i="2"/>
  <c r="D172" i="2"/>
  <c r="C172" i="2"/>
  <c r="G171" i="2"/>
  <c r="G170" i="2"/>
  <c r="G169" i="2"/>
  <c r="G168" i="2"/>
  <c r="G167" i="2"/>
  <c r="G166" i="2"/>
  <c r="G165" i="2"/>
  <c r="G164" i="2"/>
  <c r="I149" i="2"/>
  <c r="F148" i="2"/>
  <c r="E148" i="2"/>
  <c r="D148" i="2"/>
  <c r="G147" i="2"/>
  <c r="G146" i="2"/>
  <c r="G145" i="2"/>
  <c r="G144" i="2"/>
  <c r="F143" i="2"/>
  <c r="E143" i="2"/>
  <c r="D143" i="2"/>
  <c r="G142" i="2"/>
  <c r="E127" i="2"/>
  <c r="G126" i="2"/>
  <c r="G125" i="2"/>
  <c r="G124" i="2"/>
  <c r="L123" i="2"/>
  <c r="L128" i="2" s="1"/>
  <c r="G123" i="2"/>
  <c r="G122" i="2"/>
  <c r="R107" i="2"/>
  <c r="Q107" i="2"/>
  <c r="P107" i="2"/>
  <c r="O107" i="2"/>
  <c r="N107" i="2"/>
  <c r="M107" i="2"/>
  <c r="L107" i="2"/>
  <c r="K107" i="2"/>
  <c r="J107" i="2"/>
  <c r="I107" i="2"/>
  <c r="H107" i="2"/>
  <c r="F107" i="2"/>
  <c r="E107" i="2"/>
  <c r="D107" i="2"/>
  <c r="G106" i="2"/>
  <c r="G105" i="2"/>
  <c r="G104" i="2"/>
  <c r="G103" i="2"/>
  <c r="G102" i="2"/>
  <c r="G101" i="2"/>
  <c r="G86" i="2"/>
  <c r="G85" i="2"/>
  <c r="G84" i="2"/>
  <c r="G83" i="2"/>
  <c r="G82" i="2"/>
  <c r="G81" i="2"/>
  <c r="G80" i="2"/>
  <c r="F214" i="2" l="1"/>
  <c r="E149" i="2"/>
  <c r="F149" i="2"/>
  <c r="D149" i="2"/>
  <c r="G212" i="2"/>
  <c r="G213" i="2"/>
  <c r="G107" i="2"/>
  <c r="G172" i="2"/>
  <c r="G127" i="2"/>
  <c r="G148" i="2"/>
  <c r="D214" i="2"/>
  <c r="G143" i="2"/>
  <c r="R67" i="2" l="1"/>
  <c r="Q67" i="2"/>
  <c r="O67" i="2"/>
  <c r="N67" i="2"/>
  <c r="L67" i="2"/>
  <c r="K67" i="2"/>
  <c r="J67" i="2"/>
  <c r="I67" i="2"/>
  <c r="H67" i="2"/>
  <c r="C67" i="2"/>
  <c r="E66" i="2"/>
  <c r="G66" i="2" s="1"/>
  <c r="G65" i="2"/>
  <c r="G64" i="2"/>
  <c r="G63" i="2"/>
  <c r="P62" i="2"/>
  <c r="P67" i="2" s="1"/>
  <c r="M62" i="2"/>
  <c r="M67" i="2" s="1"/>
  <c r="F62" i="2"/>
  <c r="G61" i="2"/>
  <c r="F60" i="2"/>
  <c r="E60" i="2"/>
  <c r="D60" i="2"/>
  <c r="D67" i="2" s="1"/>
  <c r="R47" i="2"/>
  <c r="Q47" i="2"/>
  <c r="P47" i="2"/>
  <c r="O47" i="2"/>
  <c r="N47" i="2"/>
  <c r="M47" i="2"/>
  <c r="L47" i="2"/>
  <c r="K47" i="2"/>
  <c r="J47" i="2"/>
  <c r="I47" i="2"/>
  <c r="H47" i="2"/>
  <c r="F47" i="2"/>
  <c r="E47" i="2"/>
  <c r="D47" i="2"/>
  <c r="C47" i="2"/>
  <c r="G46" i="2"/>
  <c r="G45" i="2"/>
  <c r="G44" i="2"/>
  <c r="G43" i="2"/>
  <c r="G42" i="2"/>
  <c r="G41" i="2"/>
  <c r="G40" i="2"/>
  <c r="R27" i="2"/>
  <c r="Q27" i="2"/>
  <c r="K27" i="2"/>
  <c r="J27" i="2"/>
  <c r="G24" i="2"/>
  <c r="P23" i="2"/>
  <c r="P27" i="2" s="1"/>
  <c r="O23" i="2"/>
  <c r="O27" i="2" s="1"/>
  <c r="N23" i="2"/>
  <c r="N27" i="2" s="1"/>
  <c r="M23" i="2"/>
  <c r="M27" i="2" s="1"/>
  <c r="L23" i="2"/>
  <c r="I23" i="2"/>
  <c r="I27" i="2" s="1"/>
  <c r="H23" i="2"/>
  <c r="H27" i="2" s="1"/>
  <c r="F23" i="2"/>
  <c r="F27" i="2" s="1"/>
  <c r="E23" i="2"/>
  <c r="E27" i="2" s="1"/>
  <c r="D23" i="2"/>
  <c r="G22" i="2"/>
  <c r="L21" i="2"/>
  <c r="G21" i="2"/>
  <c r="L27" i="2" l="1"/>
  <c r="F67" i="2"/>
  <c r="G47" i="2"/>
  <c r="G62" i="2"/>
  <c r="E67" i="2"/>
  <c r="G60" i="2"/>
  <c r="G23" i="2"/>
  <c r="G27" i="2" s="1"/>
  <c r="D27" i="2"/>
  <c r="G67" i="2" l="1"/>
  <c r="F201" i="2"/>
  <c r="E201" i="2"/>
  <c r="D201" i="2"/>
  <c r="F179" i="2"/>
  <c r="E179" i="2"/>
  <c r="D179" i="2"/>
  <c r="F159" i="2"/>
  <c r="E159" i="2"/>
  <c r="D159" i="2"/>
  <c r="F136" i="2"/>
  <c r="F139" i="2" s="1"/>
  <c r="E136" i="2"/>
  <c r="E139" i="2" s="1"/>
  <c r="D136" i="2"/>
  <c r="D139" i="2" s="1"/>
  <c r="F116" i="2"/>
  <c r="E116" i="2"/>
  <c r="E119" i="2" s="1"/>
  <c r="D116" i="2"/>
  <c r="D119" i="2" s="1"/>
  <c r="F95" i="2"/>
  <c r="E95" i="2"/>
  <c r="D95" i="2"/>
  <c r="E113" i="3"/>
  <c r="D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F36" i="2"/>
  <c r="E36" i="2"/>
  <c r="D36" i="2"/>
  <c r="F202" i="2"/>
  <c r="E202" i="2"/>
  <c r="D202" i="2"/>
  <c r="F160" i="2"/>
  <c r="G159" i="2" l="1"/>
  <c r="G116" i="2"/>
  <c r="G136" i="2"/>
  <c r="G179" i="2"/>
  <c r="G201" i="2"/>
  <c r="Q72" i="2"/>
  <c r="P72" i="2"/>
  <c r="O72" i="2"/>
  <c r="N72" i="2"/>
  <c r="M72" i="2"/>
  <c r="J72" i="2"/>
  <c r="F72" i="2"/>
  <c r="E72" i="2"/>
  <c r="D72" i="2"/>
  <c r="W40" i="3"/>
  <c r="R40" i="3"/>
  <c r="I40" i="3"/>
  <c r="G29" i="3"/>
  <c r="F114" i="2" l="1"/>
  <c r="F119" i="2" s="1"/>
  <c r="G197" i="2"/>
  <c r="G198" i="2"/>
  <c r="G199" i="2"/>
  <c r="G200" i="2"/>
  <c r="G202" i="2"/>
  <c r="G196" i="2"/>
  <c r="G177" i="2"/>
  <c r="G178" i="2"/>
  <c r="G176" i="2"/>
  <c r="G154" i="2"/>
  <c r="G155" i="2"/>
  <c r="G156" i="2"/>
  <c r="G157" i="2"/>
  <c r="G158" i="2"/>
  <c r="G160" i="2"/>
  <c r="G133" i="2"/>
  <c r="G134" i="2"/>
  <c r="G135" i="2"/>
  <c r="G137" i="2"/>
  <c r="G132" i="2"/>
  <c r="G111" i="2"/>
  <c r="G119" i="2" s="1"/>
  <c r="G94" i="2"/>
  <c r="G95" i="2"/>
  <c r="G96" i="2"/>
  <c r="G97" i="2"/>
  <c r="G72" i="2"/>
  <c r="G73" i="2"/>
  <c r="G75" i="2"/>
  <c r="G71" i="2"/>
  <c r="G32" i="2"/>
  <c r="G33" i="2"/>
  <c r="G34" i="2"/>
  <c r="G35" i="2"/>
  <c r="G36" i="2"/>
  <c r="G52" i="2"/>
  <c r="G53" i="2"/>
  <c r="G54" i="2"/>
  <c r="G55" i="2"/>
  <c r="G56" i="2"/>
  <c r="G51" i="2"/>
  <c r="G12" i="2"/>
  <c r="G13" i="2"/>
  <c r="G14" i="2"/>
  <c r="G15" i="2"/>
  <c r="G10" i="2"/>
  <c r="G139" i="2" l="1"/>
  <c r="F151" i="3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L115" i="3" s="1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E112" i="3" l="1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114" i="2"/>
  <c r="P119" i="2" s="1"/>
  <c r="F74" i="2"/>
  <c r="D203" i="2"/>
  <c r="E203" i="2"/>
  <c r="F203" i="2"/>
  <c r="H203" i="2"/>
  <c r="I203" i="2"/>
  <c r="J203" i="2"/>
  <c r="K203" i="2"/>
  <c r="L203" i="2"/>
  <c r="M203" i="2"/>
  <c r="N203" i="2"/>
  <c r="O203" i="2"/>
  <c r="P203" i="2"/>
  <c r="Q203" i="2"/>
  <c r="R203" i="2"/>
  <c r="D182" i="2"/>
  <c r="E182" i="2"/>
  <c r="F182" i="2"/>
  <c r="I182" i="2"/>
  <c r="J182" i="2"/>
  <c r="K182" i="2"/>
  <c r="L182" i="2"/>
  <c r="M182" i="2"/>
  <c r="N182" i="2"/>
  <c r="O182" i="2"/>
  <c r="P182" i="2"/>
  <c r="Q182" i="2"/>
  <c r="R182" i="2"/>
  <c r="C182" i="2"/>
  <c r="D161" i="2"/>
  <c r="E161" i="2"/>
  <c r="F161" i="2"/>
  <c r="H161" i="2"/>
  <c r="I161" i="2"/>
  <c r="J161" i="2"/>
  <c r="K161" i="2"/>
  <c r="L161" i="2"/>
  <c r="M161" i="2"/>
  <c r="N161" i="2"/>
  <c r="O161" i="2"/>
  <c r="P161" i="2"/>
  <c r="Q161" i="2"/>
  <c r="R161" i="2"/>
  <c r="C161" i="2"/>
  <c r="D98" i="2"/>
  <c r="E98" i="2"/>
  <c r="F98" i="2"/>
  <c r="H98" i="2"/>
  <c r="I98" i="2"/>
  <c r="J98" i="2"/>
  <c r="K98" i="2"/>
  <c r="L98" i="2"/>
  <c r="M98" i="2"/>
  <c r="N98" i="2"/>
  <c r="O98" i="2"/>
  <c r="P98" i="2"/>
  <c r="Q98" i="2"/>
  <c r="R98" i="2"/>
  <c r="C98" i="2"/>
  <c r="D77" i="2"/>
  <c r="E77" i="2"/>
  <c r="H77" i="2"/>
  <c r="I77" i="2"/>
  <c r="J77" i="2"/>
  <c r="K77" i="2"/>
  <c r="L77" i="2"/>
  <c r="M77" i="2"/>
  <c r="N77" i="2"/>
  <c r="O77" i="2"/>
  <c r="P77" i="2"/>
  <c r="Q77" i="2"/>
  <c r="R77" i="2"/>
  <c r="C58" i="2"/>
  <c r="C1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D58" i="2"/>
  <c r="E38" i="2"/>
  <c r="F38" i="2"/>
  <c r="G38" i="2"/>
  <c r="D38" i="2"/>
  <c r="E17" i="2"/>
  <c r="F17" i="2"/>
  <c r="I17" i="2"/>
  <c r="J17" i="2"/>
  <c r="K17" i="2"/>
  <c r="L17" i="2"/>
  <c r="M17" i="2"/>
  <c r="N17" i="2"/>
  <c r="O17" i="2"/>
  <c r="P17" i="2"/>
  <c r="Q17" i="2"/>
  <c r="R17" i="2"/>
  <c r="D17" i="2"/>
  <c r="F77" i="2" l="1"/>
  <c r="G74" i="2"/>
  <c r="G77" i="2" s="1"/>
  <c r="H178" i="2"/>
  <c r="G182" i="2"/>
  <c r="H13" i="2"/>
  <c r="H17" i="2" s="1"/>
  <c r="G161" i="2" l="1"/>
  <c r="I133" i="2"/>
  <c r="I139" i="2" s="1"/>
  <c r="H133" i="2"/>
  <c r="H139" i="2" s="1"/>
  <c r="H182" i="2"/>
  <c r="H36" i="2"/>
  <c r="G98" i="2"/>
  <c r="G17" i="2"/>
  <c r="C203" i="2"/>
  <c r="C77" i="2"/>
  <c r="G203" i="2" l="1"/>
  <c r="AH66" i="3" l="1"/>
</calcChain>
</file>

<file path=xl/sharedStrings.xml><?xml version="1.0" encoding="utf-8"?>
<sst xmlns="http://schemas.openxmlformats.org/spreadsheetml/2006/main" count="441" uniqueCount="216">
  <si>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</si>
  <si>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</si>
  <si>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</si>
  <si>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</si>
  <si>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</si>
  <si>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</si>
  <si>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</si>
  <si>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</si>
  <si>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</si>
  <si>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</si>
  <si>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</si>
  <si>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</si>
  <si>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</si>
  <si>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</si>
  <si>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</si>
  <si>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</si>
  <si>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</si>
  <si>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</si>
  <si>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</si>
  <si>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</si>
  <si>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</si>
  <si>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</si>
  <si>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</si>
  <si>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</si>
  <si>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</si>
  <si>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</si>
  <si>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</si>
  <si>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</si>
  <si>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</si>
  <si>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</si>
  <si>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</si>
  <si>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</si>
  <si>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</si>
  <si>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</si>
  <si>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</si>
  <si>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</si>
  <si>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</si>
  <si>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</si>
  <si>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</si>
  <si>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</si>
  <si>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</si>
  <si>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</si>
  <si>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</si>
  <si>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</si>
  <si>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</si>
  <si>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</si>
  <si>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</si>
  <si>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</si>
  <si>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</si>
  <si>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</si>
  <si>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</si>
  <si>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</si>
  <si>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</si>
  <si>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</si>
  <si>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</si>
  <si>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</si>
  <si>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</si>
  <si>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</si>
  <si>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</si>
  <si>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</si>
  <si>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</si>
  <si>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</si>
  <si>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</si>
  <si>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</si>
  <si>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</si>
  <si>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</si>
  <si>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</si>
  <si>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</si>
  <si>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</si>
  <si>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</si>
  <si>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</si>
  <si>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</si>
  <si>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</si>
  <si>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</si>
  <si>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</si>
  <si>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</si>
  <si>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</si>
  <si>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</si>
  <si>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</si>
  <si>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</si>
  <si>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</si>
  <si>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</si>
  <si>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</si>
  <si>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</si>
  <si>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</si>
  <si>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</si>
  <si>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</si>
  <si>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</si>
  <si>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</si>
  <si>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</si>
  <si>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</si>
  <si>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</si>
  <si>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</si>
  <si>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</si>
  <si>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</si>
  <si>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</si>
  <si>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</si>
  <si>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Йод (мг)</t>
  </si>
  <si>
    <t>Цинк (мг)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</si>
  <si>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</si>
  <si>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</si>
  <si>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</si>
  <si>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</si>
  <si>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</si>
  <si>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</si>
  <si>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</si>
  <si>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</si>
  <si>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</si>
  <si>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</si>
  <si>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</si>
  <si>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</si>
  <si>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</si>
  <si>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</si>
  <si>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</si>
  <si>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</si>
  <si>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</si>
  <si>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</si>
  <si>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</si>
  <si>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</si>
  <si>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</si>
  <si>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</si>
  <si>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</si>
  <si>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</si>
  <si>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</si>
  <si>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</si>
  <si>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</si>
  <si>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</si>
  <si>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</si>
  <si>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</si>
  <si>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</si>
  <si>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</si>
  <si>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</si>
  <si>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</si>
  <si>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</si>
  <si>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</si>
  <si>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</si>
  <si>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</si>
  <si>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</si>
  <si>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</si>
  <si>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</si>
  <si>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</si>
  <si>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</si>
  <si>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</si>
  <si>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</si>
  <si>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</si>
  <si>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</si>
  <si>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</si>
  <si>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</si>
  <si>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</si>
  <si>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</si>
  <si>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</si>
  <si>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</si>
  <si>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</si>
  <si>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</si>
  <si>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 xml:space="preserve">Меню для оздоровительных учреждений с дневным пребыванием детей 7-11 лет Лето </t>
  </si>
  <si>
    <t xml:space="preserve">Пищевая ценность </t>
  </si>
  <si>
    <t>Бутерброд с сыром "Российский" и маслом сливочным</t>
  </si>
  <si>
    <t>Щи из свежей капусты с картофелем</t>
  </si>
  <si>
    <t>Гуляш</t>
  </si>
  <si>
    <t>Каша вязкая (перловая)</t>
  </si>
  <si>
    <t xml:space="preserve">Хлеб пшеничный 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</si>
  <si>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</si>
  <si>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</si>
  <si>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</si>
  <si>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</si>
  <si>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Суп картофельный с мясными фрикадельками</t>
  </si>
  <si>
    <t>250/20</t>
  </si>
  <si>
    <t>Кисломолочный продукт (ряженка 2,7 %-ной жирности)</t>
  </si>
  <si>
    <t xml:space="preserve">Птица запеченная </t>
  </si>
  <si>
    <t xml:space="preserve">Компот из фруктов </t>
  </si>
  <si>
    <t>0.01</t>
  </si>
  <si>
    <t>Борщ с картофелем и фасолью</t>
  </si>
  <si>
    <t xml:space="preserve">Рыба тушенная в томате с овощами </t>
  </si>
  <si>
    <t>Омлет с сыром</t>
  </si>
  <si>
    <t>Кисломолочный продукт (йогурт 2,7 %-ной жирности)</t>
  </si>
  <si>
    <t xml:space="preserve">Борщ </t>
  </si>
  <si>
    <t>Мясо тушеное в соусе</t>
  </si>
  <si>
    <t>Каша рассыпчатая (рисовая)</t>
  </si>
  <si>
    <t>0.015</t>
  </si>
  <si>
    <t xml:space="preserve">Суп с макронными изделиями </t>
  </si>
  <si>
    <t xml:space="preserve">Котлеты или биточки рыбные </t>
  </si>
  <si>
    <t>Шницель натуральный рубленный</t>
  </si>
  <si>
    <t>Каша вязкая (пшеничная)</t>
  </si>
  <si>
    <t>Борщ с капустой и картофелем</t>
  </si>
  <si>
    <t xml:space="preserve">Хлеб ржаной йодированный </t>
  </si>
  <si>
    <t xml:space="preserve">  Завтрак</t>
  </si>
  <si>
    <t>Обед</t>
  </si>
  <si>
    <t>Овощи свежие</t>
  </si>
  <si>
    <t xml:space="preserve">Яйцо вареное </t>
  </si>
  <si>
    <t xml:space="preserve">Сок натуральный </t>
  </si>
  <si>
    <t xml:space="preserve">Овощи свежие  </t>
  </si>
  <si>
    <t xml:space="preserve">Овощи свежие </t>
  </si>
  <si>
    <t>Чай с сахаром</t>
  </si>
  <si>
    <t>Фрукты по сезону</t>
  </si>
  <si>
    <t xml:space="preserve">Фрукты свежие </t>
  </si>
  <si>
    <t>Завтрак</t>
  </si>
  <si>
    <t xml:space="preserve">Запеканка из творога </t>
  </si>
  <si>
    <t xml:space="preserve">Соус сметанный </t>
  </si>
  <si>
    <t>Сок натуральный</t>
  </si>
  <si>
    <t>Суп рисовый с мясом</t>
  </si>
  <si>
    <t>Кондитерское изделие</t>
  </si>
  <si>
    <t>Каша жидкая молочная (рисовая)</t>
  </si>
  <si>
    <t>Яйцо вареное</t>
  </si>
  <si>
    <t>Чай с молоком</t>
  </si>
  <si>
    <t>Булочка</t>
  </si>
  <si>
    <r>
      <rPr>
        <sz val="12"/>
        <rFont val="Times New Roman"/>
        <family val="1"/>
        <charset val="204"/>
      </rPr>
      <t>Овощи свежие</t>
    </r>
    <r>
      <rPr>
        <b/>
        <sz val="12"/>
        <rFont val="Times New Roman"/>
        <family val="1"/>
        <charset val="204"/>
      </rPr>
      <t xml:space="preserve"> </t>
    </r>
  </si>
  <si>
    <t>Суп пшенный с мясом</t>
  </si>
  <si>
    <t>Салат из белокачанной капусты</t>
  </si>
  <si>
    <t>Компот  из сухофруктов</t>
  </si>
  <si>
    <t>Суп картофельный с крупой</t>
  </si>
  <si>
    <t>Тефтели рыбные тушеные в соусе томатном</t>
  </si>
  <si>
    <t>394/593</t>
  </si>
  <si>
    <t>Пюре картофельное</t>
  </si>
  <si>
    <t xml:space="preserve">Кондитерское изделие </t>
  </si>
  <si>
    <t>Среднее за 10 дней (60%) норма</t>
  </si>
  <si>
    <t>Среднее за 10 дней (60%) фактич.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</si>
</sst>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/>
    <xf numFmtId="2" fontId="8" fillId="4" borderId="1" xfId="0" applyNumberFormat="1" applyFont="1" applyFill="1" applyBorder="1"/>
    <xf numFmtId="2" fontId="8" fillId="4" borderId="5" xfId="0" applyNumberFormat="1" applyFont="1" applyFill="1" applyBorder="1"/>
    <xf numFmtId="2" fontId="8" fillId="4" borderId="4" xfId="0" applyNumberFormat="1" applyFont="1" applyFill="1" applyBorder="1"/>
    <xf numFmtId="2" fontId="8" fillId="4" borderId="8" xfId="0" applyNumberFormat="1" applyFont="1" applyFill="1" applyBorder="1"/>
    <xf numFmtId="2" fontId="8" fillId="0" borderId="3" xfId="0" applyNumberFormat="1" applyFont="1" applyBorder="1"/>
    <xf numFmtId="2" fontId="8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/>
    <xf numFmtId="2" fontId="7" fillId="4" borderId="0" xfId="0" applyNumberFormat="1" applyFont="1" applyFill="1"/>
    <xf numFmtId="0" fontId="9" fillId="6" borderId="1" xfId="0" applyFont="1" applyFill="1" applyBorder="1" applyAlignment="1">
      <alignment horizontal="center" wrapText="1"/>
    </xf>
    <xf numFmtId="2" fontId="9" fillId="6" borderId="1" xfId="0" applyNumberFormat="1" applyFont="1" applyFill="1" applyBorder="1" applyAlignment="1">
      <alignment horizontal="center" wrapText="1"/>
    </xf>
    <xf numFmtId="2" fontId="9" fillId="4" borderId="0" xfId="0" applyNumberFormat="1" applyFont="1" applyFill="1" applyAlignment="1">
      <alignment horizontal="center" wrapText="1"/>
    </xf>
    <xf numFmtId="2" fontId="9" fillId="6" borderId="0" xfId="0" applyNumberFormat="1" applyFont="1" applyFill="1" applyAlignment="1">
      <alignment horizontal="center" wrapText="1"/>
    </xf>
    <xf numFmtId="2" fontId="9" fillId="6" borderId="1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8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4" fillId="4" borderId="4" xfId="0" applyNumberFormat="1" applyFont="1" applyFill="1" applyBorder="1" applyAlignment="1">
      <alignment horizontal="center" wrapText="1"/>
    </xf>
    <xf numFmtId="2" fontId="4" fillId="4" borderId="3" xfId="0" applyNumberFormat="1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right"/>
    </xf>
    <xf numFmtId="0" fontId="10" fillId="0" borderId="1" xfId="0" applyFont="1" applyBorder="1"/>
    <xf numFmtId="2" fontId="5" fillId="4" borderId="4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2" xfId="0" applyNumberFormat="1" applyFont="1" applyFill="1" applyBorder="1"/>
    <xf numFmtId="0" fontId="5" fillId="0" borderId="1" xfId="0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left" wrapText="1"/>
    </xf>
    <xf numFmtId="0" fontId="5" fillId="4" borderId="0" xfId="0" applyFont="1" applyFill="1" applyBorder="1"/>
    <xf numFmtId="0" fontId="5" fillId="4" borderId="2" xfId="0" applyFont="1" applyFill="1" applyBorder="1"/>
    <xf numFmtId="0" fontId="5" fillId="4" borderId="1" xfId="0" applyFont="1" applyFill="1" applyBorder="1"/>
    <xf numFmtId="0" fontId="5" fillId="4" borderId="1" xfId="0" applyNumberFormat="1" applyFont="1" applyFill="1" applyBorder="1"/>
    <xf numFmtId="0" fontId="5" fillId="0" borderId="2" xfId="0" applyFont="1" applyFill="1" applyBorder="1"/>
    <xf numFmtId="2" fontId="5" fillId="0" borderId="1" xfId="0" applyNumberFormat="1" applyFont="1" applyFill="1" applyBorder="1" applyAlignment="1">
      <alignment horizontal="right" vertical="center"/>
    </xf>
    <xf numFmtId="1" fontId="4" fillId="4" borderId="1" xfId="0" applyNumberFormat="1" applyFont="1" applyFill="1" applyBorder="1"/>
    <xf numFmtId="2" fontId="4" fillId="4" borderId="3" xfId="0" applyNumberFormat="1" applyFont="1" applyFill="1" applyBorder="1" applyAlignment="1">
      <alignment horizontal="left" indent="1"/>
    </xf>
    <xf numFmtId="0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5" fillId="4" borderId="4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4" borderId="1" xfId="0" applyFont="1" applyFill="1" applyBorder="1" applyAlignment="1">
      <alignment horizontal="right"/>
    </xf>
    <xf numFmtId="0" fontId="5" fillId="4" borderId="2" xfId="0" applyNumberFormat="1" applyFont="1" applyFill="1" applyBorder="1"/>
    <xf numFmtId="0" fontId="5" fillId="4" borderId="4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1" fontId="5" fillId="2" borderId="1" xfId="0" applyNumberFormat="1" applyFont="1" applyFill="1" applyBorder="1"/>
    <xf numFmtId="2" fontId="4" fillId="4" borderId="1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/>
    <xf numFmtId="2" fontId="6" fillId="4" borderId="3" xfId="0" applyNumberFormat="1" applyFont="1" applyFill="1" applyBorder="1"/>
    <xf numFmtId="0" fontId="5" fillId="4" borderId="2" xfId="0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9" xfId="0" applyNumberFormat="1" applyFont="1" applyFill="1" applyBorder="1" applyAlignment="1">
      <alignment horizontal="center" wrapText="1"/>
    </xf>
    <xf numFmtId="2" fontId="5" fillId="4" borderId="9" xfId="0" applyNumberFormat="1" applyFont="1" applyFill="1" applyBorder="1" applyAlignment="1">
      <alignment horizontal="left" wrapText="1"/>
    </xf>
    <xf numFmtId="2" fontId="5" fillId="4" borderId="4" xfId="0" applyNumberFormat="1" applyFont="1" applyFill="1" applyBorder="1" applyAlignment="1">
      <alignment wrapText="1"/>
    </xf>
    <xf numFmtId="2" fontId="5" fillId="4" borderId="3" xfId="0" applyNumberFormat="1" applyFont="1" applyFill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/>
    <xf numFmtId="2" fontId="10" fillId="4" borderId="1" xfId="0" applyNumberFormat="1" applyFont="1" applyFill="1" applyBorder="1"/>
    <xf numFmtId="2" fontId="5" fillId="4" borderId="1" xfId="0" applyNumberFormat="1" applyFont="1" applyFill="1" applyBorder="1" applyAlignment="1">
      <alignment horizontal="left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4"/>
  <sheetViews>
    <sheetView tabSelected="1" zoomScale="70" zoomScaleNormal="70" workbookViewId="0">
      <selection activeCell="D232" sqref="D232"/>
    </sheetView>
  </sheetViews>
  <sheetFormatPr defaultColWidth="9.140625" defaultRowHeight="15.75" customHeight="1" x14ac:dyDescent="0.25"/>
  <cols>
    <col min="1" max="1" width="7.85546875" style="84" customWidth="1"/>
    <col min="2" max="2" width="35.7109375" style="47" customWidth="1"/>
    <col min="3" max="3" width="12.140625" style="46" customWidth="1"/>
    <col min="4" max="4" width="9.42578125" style="46" customWidth="1"/>
    <col min="5" max="5" width="9.140625" style="46" customWidth="1"/>
    <col min="6" max="7" width="9.7109375" style="46" customWidth="1"/>
    <col min="8" max="8" width="8.140625" style="46" customWidth="1"/>
    <col min="9" max="9" width="8.7109375" style="46" customWidth="1"/>
    <col min="10" max="10" width="8.85546875" style="46" customWidth="1"/>
    <col min="11" max="11" width="7.7109375" style="46" customWidth="1"/>
    <col min="12" max="12" width="8.5703125" style="46" customWidth="1"/>
    <col min="13" max="13" width="9.85546875" style="46" customWidth="1"/>
    <col min="14" max="14" width="9.140625" style="46"/>
    <col min="15" max="15" width="9.140625" style="46" customWidth="1"/>
    <col min="16" max="16" width="7.7109375" style="46" customWidth="1"/>
    <col min="17" max="17" width="7.85546875" style="46" customWidth="1"/>
    <col min="18" max="18" width="9" style="48" customWidth="1"/>
    <col min="19" max="19" width="9.140625" style="134"/>
    <col min="20" max="37" width="9.140625" style="145"/>
    <col min="38" max="38" width="9.140625" style="100"/>
    <col min="39" max="16384" width="9.140625" style="48"/>
  </cols>
  <sheetData>
    <row r="1" spans="1:38" ht="15.75" customHeight="1" x14ac:dyDescent="0.25">
      <c r="G1" s="97"/>
      <c r="M1" s="98"/>
      <c r="N1" s="99"/>
      <c r="O1" s="99"/>
      <c r="P1" s="99"/>
      <c r="Q1" s="99"/>
      <c r="R1" s="100"/>
    </row>
    <row r="2" spans="1:38" ht="15.75" customHeight="1" x14ac:dyDescent="0.25">
      <c r="G2" s="97"/>
      <c r="M2" s="98"/>
      <c r="N2" s="99"/>
      <c r="O2" s="99"/>
      <c r="P2" s="99"/>
      <c r="Q2" s="99"/>
      <c r="R2" s="100"/>
    </row>
    <row r="3" spans="1:38" ht="15.75" customHeight="1" x14ac:dyDescent="0.25">
      <c r="G3" s="97"/>
      <c r="M3" s="98"/>
      <c r="N3" s="99"/>
      <c r="O3" s="99"/>
      <c r="P3" s="99"/>
      <c r="Q3" s="99"/>
      <c r="R3" s="100"/>
    </row>
    <row r="4" spans="1:38" s="122" customFormat="1" ht="15.75" customHeight="1" x14ac:dyDescent="0.3">
      <c r="A4" s="115"/>
      <c r="B4" s="116" t="s">
        <v>154</v>
      </c>
      <c r="C4" s="117"/>
      <c r="D4" s="117"/>
      <c r="E4" s="117"/>
      <c r="F4" s="117"/>
      <c r="G4" s="118"/>
      <c r="H4" s="117"/>
      <c r="I4" s="117"/>
      <c r="J4" s="117"/>
      <c r="K4" s="117"/>
      <c r="L4" s="117"/>
      <c r="M4" s="119"/>
      <c r="N4" s="120"/>
      <c r="O4" s="120"/>
      <c r="P4" s="120"/>
      <c r="Q4" s="120"/>
      <c r="R4" s="121"/>
      <c r="S4" s="133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21"/>
    </row>
    <row r="5" spans="1:38" ht="15.75" customHeight="1" x14ac:dyDescent="0.25">
      <c r="G5" s="97"/>
      <c r="M5" s="98"/>
      <c r="N5" s="99"/>
      <c r="O5" s="99"/>
      <c r="P5" s="99"/>
      <c r="Q5" s="99"/>
      <c r="R5" s="100"/>
    </row>
    <row r="6" spans="1:38" s="41" customFormat="1" ht="15.75" customHeight="1" x14ac:dyDescent="0.25">
      <c r="A6" s="83"/>
      <c r="B6" s="41" t="s">
        <v>155</v>
      </c>
      <c r="G6" s="42"/>
      <c r="M6" s="43"/>
      <c r="N6" s="44"/>
      <c r="O6" s="44"/>
      <c r="P6" s="44"/>
      <c r="Q6" s="44"/>
      <c r="R6" s="45"/>
      <c r="S6" s="43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45"/>
    </row>
    <row r="7" spans="1:38" ht="25.5" customHeight="1" x14ac:dyDescent="0.25">
      <c r="D7" s="234" t="s">
        <v>146</v>
      </c>
      <c r="E7" s="234"/>
      <c r="F7" s="234"/>
      <c r="G7" s="231" t="s">
        <v>147</v>
      </c>
      <c r="H7" s="234" t="s">
        <v>148</v>
      </c>
      <c r="I7" s="234"/>
      <c r="J7" s="234"/>
      <c r="K7" s="234"/>
      <c r="L7" s="234"/>
      <c r="M7" s="237" t="s">
        <v>149</v>
      </c>
      <c r="N7" s="238"/>
      <c r="O7" s="238"/>
      <c r="P7" s="238"/>
      <c r="Q7" s="238"/>
      <c r="R7" s="239"/>
      <c r="S7" s="98"/>
    </row>
    <row r="8" spans="1:38" ht="33.75" customHeight="1" x14ac:dyDescent="0.25">
      <c r="A8" s="235" t="s">
        <v>105</v>
      </c>
      <c r="B8" s="236"/>
      <c r="C8" s="49"/>
      <c r="D8" s="50" t="s">
        <v>0</v>
      </c>
      <c r="E8" s="50" t="s">
        <v>1</v>
      </c>
      <c r="F8" s="50" t="s">
        <v>2</v>
      </c>
      <c r="G8" s="232"/>
      <c r="H8" s="50" t="s">
        <v>41</v>
      </c>
      <c r="I8" s="50" t="s">
        <v>45</v>
      </c>
      <c r="J8" s="50" t="s">
        <v>42</v>
      </c>
      <c r="K8" s="50" t="s">
        <v>43</v>
      </c>
      <c r="L8" s="50" t="s">
        <v>44</v>
      </c>
      <c r="M8" s="50" t="s">
        <v>46</v>
      </c>
      <c r="N8" s="50" t="s">
        <v>47</v>
      </c>
      <c r="O8" s="50" t="s">
        <v>48</v>
      </c>
      <c r="P8" s="50" t="s">
        <v>49</v>
      </c>
      <c r="Q8" s="50" t="s">
        <v>98</v>
      </c>
      <c r="R8" s="50" t="s">
        <v>97</v>
      </c>
      <c r="S8" s="98"/>
    </row>
    <row r="9" spans="1:38" s="46" customFormat="1" ht="33.75" customHeight="1" x14ac:dyDescent="0.25">
      <c r="A9" s="164"/>
      <c r="B9" s="165" t="s">
        <v>185</v>
      </c>
      <c r="C9" s="65"/>
      <c r="D9" s="166"/>
      <c r="E9" s="166"/>
      <c r="F9" s="166"/>
      <c r="G9" s="167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98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4"/>
    </row>
    <row r="10" spans="1:38" s="53" customFormat="1" ht="15.75" customHeight="1" x14ac:dyDescent="0.25">
      <c r="A10" s="85">
        <v>3</v>
      </c>
      <c r="B10" s="51" t="s">
        <v>156</v>
      </c>
      <c r="C10" s="51">
        <v>40</v>
      </c>
      <c r="D10" s="52">
        <v>6.23</v>
      </c>
      <c r="E10" s="52">
        <v>8.41</v>
      </c>
      <c r="F10" s="52">
        <v>19.75</v>
      </c>
      <c r="G10" s="52">
        <f>F10*4+E10*9+D10*4</f>
        <v>179.61</v>
      </c>
      <c r="H10" s="52">
        <v>5.3999999999999999E-2</v>
      </c>
      <c r="I10" s="52">
        <v>0.47199999999999998</v>
      </c>
      <c r="J10" s="52">
        <v>0.11</v>
      </c>
      <c r="K10" s="52">
        <v>0.62</v>
      </c>
      <c r="L10" s="52">
        <v>0.215</v>
      </c>
      <c r="M10" s="52">
        <v>137.19999999999999</v>
      </c>
      <c r="N10" s="52">
        <v>79</v>
      </c>
      <c r="O10" s="52">
        <v>10.9</v>
      </c>
      <c r="P10" s="52">
        <v>0.6</v>
      </c>
      <c r="Q10" s="52">
        <v>1.32</v>
      </c>
      <c r="R10" s="52">
        <v>0</v>
      </c>
      <c r="S10" s="13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39"/>
    </row>
    <row r="11" spans="1:38" s="53" customFormat="1" ht="15.75" customHeight="1" x14ac:dyDescent="0.25">
      <c r="A11" s="212">
        <v>337</v>
      </c>
      <c r="B11" s="60" t="s">
        <v>188</v>
      </c>
      <c r="C11" s="60">
        <v>40</v>
      </c>
      <c r="D11" s="52">
        <v>4.5</v>
      </c>
      <c r="E11" s="52">
        <v>4.8</v>
      </c>
      <c r="F11" s="52">
        <v>0.2</v>
      </c>
      <c r="G11" s="52">
        <v>63.5</v>
      </c>
      <c r="H11" s="52">
        <v>0.02</v>
      </c>
      <c r="I11" s="52">
        <v>0.03</v>
      </c>
      <c r="J11" s="52">
        <v>7.0000000000000007E-2</v>
      </c>
      <c r="K11" s="52">
        <v>0.1</v>
      </c>
      <c r="L11" s="52">
        <v>0.09</v>
      </c>
      <c r="M11" s="52">
        <v>22</v>
      </c>
      <c r="N11" s="52">
        <v>76.8</v>
      </c>
      <c r="O11" s="52">
        <v>4.8</v>
      </c>
      <c r="P11" s="52">
        <v>1</v>
      </c>
      <c r="Q11" s="52">
        <v>0.6</v>
      </c>
      <c r="R11" s="52">
        <v>0</v>
      </c>
      <c r="S11" s="13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39"/>
    </row>
    <row r="12" spans="1:38" ht="15.75" customHeight="1" x14ac:dyDescent="0.25">
      <c r="A12" s="86">
        <v>311</v>
      </c>
      <c r="B12" s="54" t="s">
        <v>117</v>
      </c>
      <c r="C12" s="54">
        <v>200</v>
      </c>
      <c r="D12" s="52">
        <v>6.8505000000000003</v>
      </c>
      <c r="E12" s="52">
        <v>6.5880000000000001</v>
      </c>
      <c r="F12" s="52">
        <v>29.329000000000001</v>
      </c>
      <c r="G12" s="52">
        <f t="shared" ref="G12:G15" si="0">F12*4+E12*9+D12*4</f>
        <v>204.01</v>
      </c>
      <c r="H12" s="52">
        <v>9.4500000000000001E-3</v>
      </c>
      <c r="I12" s="52">
        <v>2.1000000000000001E-2</v>
      </c>
      <c r="J12" s="52">
        <v>0.189</v>
      </c>
      <c r="K12" s="52">
        <v>0.03</v>
      </c>
      <c r="L12" s="52">
        <v>0</v>
      </c>
      <c r="M12" s="52">
        <v>21.630000000000003</v>
      </c>
      <c r="N12" s="52">
        <v>22.8795</v>
      </c>
      <c r="O12" s="52">
        <v>5.0925000000000002</v>
      </c>
      <c r="P12" s="52">
        <v>7.350000000000001E-2</v>
      </c>
      <c r="Q12" s="52">
        <v>1.1000000000000001</v>
      </c>
      <c r="R12" s="52">
        <v>0</v>
      </c>
      <c r="S12" s="135"/>
    </row>
    <row r="13" spans="1:38" s="53" customFormat="1" ht="15.75" customHeight="1" x14ac:dyDescent="0.25">
      <c r="A13" s="85">
        <v>693</v>
      </c>
      <c r="B13" s="51" t="s">
        <v>6</v>
      </c>
      <c r="C13" s="51">
        <v>200</v>
      </c>
      <c r="D13" s="55">
        <v>4.07</v>
      </c>
      <c r="E13" s="55">
        <v>3.5</v>
      </c>
      <c r="F13" s="55">
        <v>17.5</v>
      </c>
      <c r="G13" s="52">
        <f t="shared" si="0"/>
        <v>117.78</v>
      </c>
      <c r="H13" s="55">
        <f>0.28*0.18</f>
        <v>5.04E-2</v>
      </c>
      <c r="I13" s="55">
        <v>0.18</v>
      </c>
      <c r="J13" s="55">
        <v>1.57</v>
      </c>
      <c r="K13" s="55">
        <v>0.24</v>
      </c>
      <c r="L13" s="55">
        <v>0</v>
      </c>
      <c r="M13" s="55">
        <v>152.19999999999999</v>
      </c>
      <c r="N13" s="55">
        <v>124.5</v>
      </c>
      <c r="O13" s="55">
        <v>21.34</v>
      </c>
      <c r="P13" s="55">
        <v>0.47</v>
      </c>
      <c r="Q13" s="52">
        <v>0.5</v>
      </c>
      <c r="R13" s="52">
        <v>0</v>
      </c>
      <c r="S13" s="13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39"/>
    </row>
    <row r="14" spans="1:38" s="52" customFormat="1" ht="15.75" customHeight="1" x14ac:dyDescent="0.25">
      <c r="A14" s="85"/>
      <c r="B14" s="51" t="s">
        <v>4</v>
      </c>
      <c r="C14" s="51">
        <v>20</v>
      </c>
      <c r="D14" s="52">
        <v>1.35</v>
      </c>
      <c r="E14" s="52">
        <v>0.17199999999999999</v>
      </c>
      <c r="F14" s="52">
        <v>10.029999999999999</v>
      </c>
      <c r="G14" s="52">
        <f t="shared" si="0"/>
        <v>47.067999999999998</v>
      </c>
      <c r="H14" s="52">
        <v>2.4E-2</v>
      </c>
      <c r="I14" s="52">
        <v>5.0000000000000001E-3</v>
      </c>
      <c r="J14" s="52">
        <v>0</v>
      </c>
      <c r="K14" s="52">
        <v>0</v>
      </c>
      <c r="L14" s="52">
        <v>0.22</v>
      </c>
      <c r="M14" s="52">
        <v>4</v>
      </c>
      <c r="N14" s="52">
        <v>13</v>
      </c>
      <c r="O14" s="52">
        <v>2.8</v>
      </c>
      <c r="P14" s="52">
        <v>0.22</v>
      </c>
      <c r="Q14" s="52">
        <v>0.14699999999999999</v>
      </c>
      <c r="R14" s="52">
        <v>0</v>
      </c>
      <c r="S14" s="13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0"/>
    </row>
    <row r="15" spans="1:38" s="52" customFormat="1" ht="15.75" customHeight="1" x14ac:dyDescent="0.25">
      <c r="A15" s="85"/>
      <c r="B15" s="51" t="s">
        <v>194</v>
      </c>
      <c r="C15" s="51">
        <v>100</v>
      </c>
      <c r="D15" s="55">
        <v>0.5</v>
      </c>
      <c r="E15" s="55">
        <v>0.5</v>
      </c>
      <c r="F15" s="55">
        <v>12.8</v>
      </c>
      <c r="G15" s="52">
        <f t="shared" si="0"/>
        <v>57.7</v>
      </c>
      <c r="H15" s="55">
        <v>0.04</v>
      </c>
      <c r="I15" s="55">
        <v>0.01</v>
      </c>
      <c r="J15" s="55">
        <v>5</v>
      </c>
      <c r="K15" s="55">
        <v>0</v>
      </c>
      <c r="L15" s="55">
        <v>0.33</v>
      </c>
      <c r="M15" s="55">
        <v>25</v>
      </c>
      <c r="N15" s="55">
        <v>18.3</v>
      </c>
      <c r="O15" s="55">
        <v>14.16</v>
      </c>
      <c r="P15" s="55">
        <v>0.5</v>
      </c>
      <c r="Q15" s="52">
        <v>0.48</v>
      </c>
      <c r="R15" s="52">
        <v>1.0000000000000001E-5</v>
      </c>
      <c r="S15" s="13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0"/>
    </row>
    <row r="16" spans="1:38" s="52" customFormat="1" ht="15.75" customHeight="1" x14ac:dyDescent="0.25">
      <c r="A16" s="87"/>
      <c r="B16" s="51"/>
      <c r="C16" s="51"/>
      <c r="S16" s="13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0"/>
    </row>
    <row r="17" spans="1:38" s="52" customFormat="1" ht="15.75" customHeight="1" x14ac:dyDescent="0.25">
      <c r="A17" s="88"/>
      <c r="B17" s="214" t="s">
        <v>21</v>
      </c>
      <c r="C17" s="56">
        <f>SUM(C10:C15)</f>
        <v>600</v>
      </c>
      <c r="D17" s="56">
        <f>SUM(D10:D15)</f>
        <v>23.500500000000002</v>
      </c>
      <c r="E17" s="56">
        <f t="shared" ref="E17:R17" si="1">SUM(E10:E15)</f>
        <v>23.970000000000002</v>
      </c>
      <c r="F17" s="56">
        <f t="shared" si="1"/>
        <v>89.608999999999995</v>
      </c>
      <c r="G17" s="56">
        <f t="shared" si="1"/>
        <v>669.66800000000001</v>
      </c>
      <c r="H17" s="56">
        <f t="shared" si="1"/>
        <v>0.19785</v>
      </c>
      <c r="I17" s="56">
        <f t="shared" si="1"/>
        <v>0.71800000000000008</v>
      </c>
      <c r="J17" s="56">
        <f t="shared" si="1"/>
        <v>6.9390000000000001</v>
      </c>
      <c r="K17" s="56">
        <f t="shared" si="1"/>
        <v>0.99</v>
      </c>
      <c r="L17" s="56">
        <f t="shared" si="1"/>
        <v>0.85499999999999998</v>
      </c>
      <c r="M17" s="56">
        <f t="shared" si="1"/>
        <v>362.03</v>
      </c>
      <c r="N17" s="56">
        <f t="shared" si="1"/>
        <v>334.47950000000003</v>
      </c>
      <c r="O17" s="56">
        <f t="shared" si="1"/>
        <v>59.092500000000001</v>
      </c>
      <c r="P17" s="56">
        <f t="shared" si="1"/>
        <v>2.8635000000000006</v>
      </c>
      <c r="Q17" s="56">
        <f t="shared" si="1"/>
        <v>4.1470000000000002</v>
      </c>
      <c r="R17" s="56">
        <f t="shared" si="1"/>
        <v>1.0000000000000001E-5</v>
      </c>
      <c r="S17" s="13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0"/>
    </row>
    <row r="18" spans="1:38" s="46" customFormat="1" ht="15.75" customHeight="1" x14ac:dyDescent="0.25">
      <c r="A18" s="161"/>
      <c r="B18" s="211" t="s">
        <v>186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98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4"/>
    </row>
    <row r="19" spans="1:38" s="46" customFormat="1" ht="15.75" customHeight="1" x14ac:dyDescent="0.25">
      <c r="A19" s="168"/>
      <c r="B19" s="168" t="s">
        <v>187</v>
      </c>
      <c r="C19" s="169">
        <v>60</v>
      </c>
      <c r="D19" s="170">
        <v>42</v>
      </c>
      <c r="E19" s="170">
        <v>0.06</v>
      </c>
      <c r="F19" s="170">
        <v>1.1399999999999999</v>
      </c>
      <c r="G19" s="171">
        <v>6.78</v>
      </c>
      <c r="H19" s="170">
        <v>0.02</v>
      </c>
      <c r="I19" s="170">
        <v>0.01</v>
      </c>
      <c r="J19" s="170">
        <v>2.94</v>
      </c>
      <c r="K19" s="170">
        <v>0</v>
      </c>
      <c r="L19" s="170">
        <v>0</v>
      </c>
      <c r="M19" s="170">
        <v>10.199999999999999</v>
      </c>
      <c r="N19" s="170">
        <v>18</v>
      </c>
      <c r="O19" s="170">
        <v>8.4</v>
      </c>
      <c r="P19" s="172">
        <v>0.3</v>
      </c>
      <c r="Q19" s="170">
        <v>0.12</v>
      </c>
      <c r="R19" s="173">
        <v>0</v>
      </c>
      <c r="S19" s="98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4"/>
    </row>
    <row r="20" spans="1:38" s="46" customFormat="1" ht="15.75" customHeight="1" x14ac:dyDescent="0.25">
      <c r="A20" s="168">
        <v>123</v>
      </c>
      <c r="B20" s="168" t="s">
        <v>157</v>
      </c>
      <c r="C20" s="169">
        <v>250</v>
      </c>
      <c r="D20" s="171">
        <v>1.77</v>
      </c>
      <c r="E20" s="171">
        <v>4.95</v>
      </c>
      <c r="F20" s="171">
        <v>7.9</v>
      </c>
      <c r="G20" s="171">
        <v>83.23</v>
      </c>
      <c r="H20" s="171">
        <v>0.06</v>
      </c>
      <c r="I20" s="171">
        <v>0.05</v>
      </c>
      <c r="J20" s="171">
        <v>15.78</v>
      </c>
      <c r="K20" s="171">
        <v>0</v>
      </c>
      <c r="L20" s="170">
        <v>0.5</v>
      </c>
      <c r="M20" s="171">
        <v>49.25</v>
      </c>
      <c r="N20" s="171">
        <v>49</v>
      </c>
      <c r="O20" s="171">
        <v>22.13</v>
      </c>
      <c r="P20" s="174">
        <v>0.83</v>
      </c>
      <c r="Q20" s="171">
        <v>0.56000000000000005</v>
      </c>
      <c r="R20" s="173">
        <v>0.01</v>
      </c>
      <c r="S20" s="98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4"/>
    </row>
    <row r="21" spans="1:38" s="46" customFormat="1" ht="15.75" customHeight="1" x14ac:dyDescent="0.25">
      <c r="A21" s="175">
        <v>437</v>
      </c>
      <c r="B21" s="168" t="s">
        <v>158</v>
      </c>
      <c r="C21" s="176">
        <v>90</v>
      </c>
      <c r="D21" s="55">
        <v>11.78</v>
      </c>
      <c r="E21" s="55">
        <v>13.59</v>
      </c>
      <c r="F21" s="55">
        <v>2.6</v>
      </c>
      <c r="G21" s="171">
        <f>D21*4+E21*9+F21*4</f>
        <v>179.83</v>
      </c>
      <c r="H21" s="55">
        <v>0.04</v>
      </c>
      <c r="I21" s="55">
        <v>0.08</v>
      </c>
      <c r="J21" s="55">
        <v>0.73</v>
      </c>
      <c r="K21" s="55">
        <v>0</v>
      </c>
      <c r="L21" s="170">
        <f>0.68*0.46</f>
        <v>0.31280000000000002</v>
      </c>
      <c r="M21" s="55">
        <v>19.25</v>
      </c>
      <c r="N21" s="55">
        <v>126.31</v>
      </c>
      <c r="O21" s="55">
        <v>19.23</v>
      </c>
      <c r="P21" s="55">
        <v>2.56</v>
      </c>
      <c r="Q21" s="55">
        <v>3.26</v>
      </c>
      <c r="R21" s="173">
        <v>0.03</v>
      </c>
      <c r="S21" s="98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4"/>
    </row>
    <row r="22" spans="1:38" s="46" customFormat="1" ht="15.75" customHeight="1" x14ac:dyDescent="0.25">
      <c r="A22" s="177">
        <v>302</v>
      </c>
      <c r="B22" s="168" t="s">
        <v>159</v>
      </c>
      <c r="C22" s="169">
        <v>150</v>
      </c>
      <c r="D22" s="46">
        <v>3.2</v>
      </c>
      <c r="E22" s="46">
        <v>5.2</v>
      </c>
      <c r="F22" s="46">
        <v>20.8</v>
      </c>
      <c r="G22" s="46">
        <f t="shared" ref="G22:G24" si="2">D22*4+E22*9+F22*4</f>
        <v>142.80000000000001</v>
      </c>
      <c r="H22" s="46">
        <v>0.06</v>
      </c>
      <c r="I22" s="46">
        <v>0.02</v>
      </c>
      <c r="J22" s="46">
        <v>0</v>
      </c>
      <c r="K22" s="46">
        <v>0</v>
      </c>
      <c r="L22" s="178">
        <v>0.31</v>
      </c>
      <c r="M22" s="46">
        <v>26.82</v>
      </c>
      <c r="N22" s="46">
        <v>111.2</v>
      </c>
      <c r="O22" s="46">
        <v>15.99</v>
      </c>
      <c r="P22" s="98">
        <v>0.28000000000000003</v>
      </c>
      <c r="Q22" s="46">
        <v>0</v>
      </c>
      <c r="R22" s="179">
        <v>0</v>
      </c>
      <c r="S22" s="98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4"/>
    </row>
    <row r="23" spans="1:38" s="46" customFormat="1" ht="15.75" customHeight="1" x14ac:dyDescent="0.25">
      <c r="A23" s="168"/>
      <c r="B23" s="168" t="s">
        <v>160</v>
      </c>
      <c r="C23" s="169">
        <v>60</v>
      </c>
      <c r="D23" s="55">
        <f>2.7*60/40</f>
        <v>4.05</v>
      </c>
      <c r="E23" s="55">
        <f>0.34*60/40</f>
        <v>0.51</v>
      </c>
      <c r="F23" s="55">
        <f>20.06*60/40</f>
        <v>30.089999999999996</v>
      </c>
      <c r="G23" s="171">
        <f t="shared" si="2"/>
        <v>141.14999999999998</v>
      </c>
      <c r="H23" s="55">
        <f>0.11*0.6</f>
        <v>6.6000000000000003E-2</v>
      </c>
      <c r="I23" s="55">
        <f>0.03*0.6</f>
        <v>1.7999999999999999E-2</v>
      </c>
      <c r="J23" s="55">
        <v>0</v>
      </c>
      <c r="K23" s="55">
        <v>0</v>
      </c>
      <c r="L23" s="55">
        <f>1.1*0.6</f>
        <v>0.66</v>
      </c>
      <c r="M23" s="55">
        <f>20*0.6</f>
        <v>12</v>
      </c>
      <c r="N23" s="55">
        <f>65*0.6</f>
        <v>39</v>
      </c>
      <c r="O23" s="55">
        <f>14*0.6</f>
        <v>8.4</v>
      </c>
      <c r="P23" s="55">
        <f>1.1*0.6</f>
        <v>0.66</v>
      </c>
      <c r="Q23" s="55">
        <v>0</v>
      </c>
      <c r="R23" s="173">
        <v>0</v>
      </c>
      <c r="S23" s="98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4"/>
    </row>
    <row r="24" spans="1:38" s="46" customFormat="1" ht="15.75" customHeight="1" x14ac:dyDescent="0.25">
      <c r="A24" s="168"/>
      <c r="B24" s="168" t="s">
        <v>124</v>
      </c>
      <c r="C24" s="169">
        <v>20</v>
      </c>
      <c r="D24" s="171">
        <v>1.33</v>
      </c>
      <c r="E24" s="171">
        <v>0.24</v>
      </c>
      <c r="F24" s="171">
        <v>8.3699999999999992</v>
      </c>
      <c r="G24" s="171">
        <f t="shared" si="2"/>
        <v>40.959999999999994</v>
      </c>
      <c r="H24" s="171">
        <v>0.11</v>
      </c>
      <c r="I24" s="171">
        <v>7.0000000000000007E-2</v>
      </c>
      <c r="J24" s="171">
        <v>0.14000000000000001</v>
      </c>
      <c r="K24" s="171">
        <v>0</v>
      </c>
      <c r="L24" s="171">
        <v>0.11</v>
      </c>
      <c r="M24" s="171">
        <v>25.55</v>
      </c>
      <c r="N24" s="171">
        <v>43.75</v>
      </c>
      <c r="O24" s="171">
        <v>14</v>
      </c>
      <c r="P24" s="174">
        <v>0.98</v>
      </c>
      <c r="Q24" s="171">
        <v>0</v>
      </c>
      <c r="R24" s="173">
        <v>0.02</v>
      </c>
      <c r="S24" s="98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4"/>
    </row>
    <row r="25" spans="1:38" s="46" customFormat="1" ht="15.75" customHeight="1" x14ac:dyDescent="0.25">
      <c r="A25" s="168"/>
      <c r="B25" s="48" t="s">
        <v>189</v>
      </c>
      <c r="C25" s="180">
        <v>180</v>
      </c>
      <c r="D25" s="181">
        <v>0.81</v>
      </c>
      <c r="E25" s="181">
        <v>0</v>
      </c>
      <c r="F25" s="181">
        <v>15.15</v>
      </c>
      <c r="G25" s="181">
        <v>64.209999999999994</v>
      </c>
      <c r="H25" s="55">
        <v>0.03</v>
      </c>
      <c r="I25" s="55">
        <v>1.4999999999999999E-2</v>
      </c>
      <c r="J25" s="55">
        <v>3</v>
      </c>
      <c r="K25" s="55">
        <v>0</v>
      </c>
      <c r="L25" s="55">
        <v>0.15</v>
      </c>
      <c r="M25" s="55">
        <v>10.5</v>
      </c>
      <c r="N25" s="55">
        <v>10.5</v>
      </c>
      <c r="O25" s="55">
        <v>6</v>
      </c>
      <c r="P25" s="55">
        <v>2.1</v>
      </c>
      <c r="Q25" s="55">
        <v>0</v>
      </c>
      <c r="R25" s="173">
        <v>0</v>
      </c>
      <c r="S25" s="98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4"/>
    </row>
    <row r="26" spans="1:38" s="46" customFormat="1" ht="15.75" customHeight="1" x14ac:dyDescent="0.25">
      <c r="A26" s="161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98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4"/>
    </row>
    <row r="27" spans="1:38" s="46" customFormat="1" ht="15.75" customHeight="1" x14ac:dyDescent="0.25">
      <c r="A27" s="182"/>
      <c r="B27" s="215" t="s">
        <v>21</v>
      </c>
      <c r="C27" s="183">
        <v>810</v>
      </c>
      <c r="D27" s="184">
        <f t="shared" ref="D27:R27" si="3">SUM(D20:D26)</f>
        <v>22.94</v>
      </c>
      <c r="E27" s="184">
        <f t="shared" si="3"/>
        <v>24.49</v>
      </c>
      <c r="F27" s="184">
        <f t="shared" si="3"/>
        <v>84.910000000000011</v>
      </c>
      <c r="G27" s="184">
        <f t="shared" si="3"/>
        <v>652.18000000000006</v>
      </c>
      <c r="H27" s="184">
        <f t="shared" si="3"/>
        <v>0.36599999999999999</v>
      </c>
      <c r="I27" s="184">
        <f t="shared" si="3"/>
        <v>0.253</v>
      </c>
      <c r="J27" s="184">
        <f t="shared" si="3"/>
        <v>19.649999999999999</v>
      </c>
      <c r="K27" s="184">
        <f t="shared" si="3"/>
        <v>0</v>
      </c>
      <c r="L27" s="184">
        <f t="shared" si="3"/>
        <v>2.0428000000000002</v>
      </c>
      <c r="M27" s="184">
        <f t="shared" si="3"/>
        <v>143.37</v>
      </c>
      <c r="N27" s="184">
        <f t="shared" si="3"/>
        <v>379.76</v>
      </c>
      <c r="O27" s="184">
        <f t="shared" si="3"/>
        <v>85.75</v>
      </c>
      <c r="P27" s="184">
        <f t="shared" si="3"/>
        <v>7.41</v>
      </c>
      <c r="Q27" s="184">
        <f t="shared" si="3"/>
        <v>3.82</v>
      </c>
      <c r="R27" s="184">
        <f t="shared" si="3"/>
        <v>0.06</v>
      </c>
      <c r="S27" s="98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4"/>
    </row>
    <row r="28" spans="1:38" s="46" customFormat="1" ht="15.75" customHeight="1" x14ac:dyDescent="0.25">
      <c r="A28" s="161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98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4"/>
    </row>
    <row r="29" spans="1:38" s="59" customFormat="1" ht="15.75" customHeight="1" x14ac:dyDescent="0.25">
      <c r="A29" s="240" t="s">
        <v>106</v>
      </c>
      <c r="B29" s="24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136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1"/>
    </row>
    <row r="30" spans="1:38" s="58" customFormat="1" ht="15.75" customHeight="1" x14ac:dyDescent="0.25">
      <c r="A30" s="216"/>
      <c r="B30" s="216" t="s">
        <v>195</v>
      </c>
      <c r="C30" s="5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17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218"/>
    </row>
    <row r="31" spans="1:38" ht="15.75" customHeight="1" x14ac:dyDescent="0.25">
      <c r="A31" s="89"/>
      <c r="B31" s="60" t="s">
        <v>191</v>
      </c>
      <c r="C31" s="60">
        <v>60</v>
      </c>
      <c r="D31" s="55">
        <v>0.42</v>
      </c>
      <c r="E31" s="55">
        <v>0.06</v>
      </c>
      <c r="F31" s="55">
        <v>1.1399999999999999</v>
      </c>
      <c r="G31" s="55">
        <v>6.78</v>
      </c>
      <c r="H31" s="55">
        <v>0.02</v>
      </c>
      <c r="I31" s="55">
        <v>0.01</v>
      </c>
      <c r="J31" s="55">
        <v>2.94</v>
      </c>
      <c r="K31" s="55">
        <v>0</v>
      </c>
      <c r="L31" s="55">
        <v>0</v>
      </c>
      <c r="M31" s="55">
        <v>10.199999999999999</v>
      </c>
      <c r="N31" s="55">
        <v>18</v>
      </c>
      <c r="O31" s="55">
        <v>8.4</v>
      </c>
      <c r="P31" s="55">
        <v>0.3</v>
      </c>
      <c r="Q31" s="48">
        <v>0.12</v>
      </c>
      <c r="R31" s="48">
        <v>0</v>
      </c>
    </row>
    <row r="32" spans="1:38" ht="15.75" customHeight="1" x14ac:dyDescent="0.25">
      <c r="A32" s="85">
        <v>436</v>
      </c>
      <c r="B32" s="51" t="s">
        <v>22</v>
      </c>
      <c r="C32" s="51">
        <v>175</v>
      </c>
      <c r="D32" s="46">
        <v>17.009708737864077</v>
      </c>
      <c r="E32" s="46">
        <v>15.679611650485436</v>
      </c>
      <c r="F32" s="46">
        <v>25.864077669902912</v>
      </c>
      <c r="G32" s="55">
        <f t="shared" ref="G32:G36" si="4">F32*4+E32*9+D32*4</f>
        <v>312.61165048543688</v>
      </c>
      <c r="H32" s="46">
        <v>0.13980582524271842</v>
      </c>
      <c r="I32" s="46">
        <v>0.19805825242718447</v>
      </c>
      <c r="J32" s="46">
        <v>8.0970873786407758</v>
      </c>
      <c r="K32" s="46">
        <v>0</v>
      </c>
      <c r="L32" s="46">
        <v>10.067961165048542</v>
      </c>
      <c r="M32" s="46">
        <v>36.504854368932037</v>
      </c>
      <c r="N32" s="46">
        <v>215.95145631067962</v>
      </c>
      <c r="O32" s="46">
        <v>50.902912621359221</v>
      </c>
      <c r="P32" s="46">
        <v>4.6213592233009706</v>
      </c>
      <c r="Q32" s="48">
        <v>3.38</v>
      </c>
      <c r="R32" s="48">
        <v>0</v>
      </c>
    </row>
    <row r="33" spans="1:38" s="61" customFormat="1" ht="15.75" customHeight="1" x14ac:dyDescent="0.25">
      <c r="A33" s="85">
        <v>685</v>
      </c>
      <c r="B33" s="51" t="s">
        <v>192</v>
      </c>
      <c r="C33" s="51">
        <v>200</v>
      </c>
      <c r="D33" s="52">
        <v>0.6</v>
      </c>
      <c r="E33" s="52">
        <v>0.4</v>
      </c>
      <c r="F33" s="52">
        <v>10.4</v>
      </c>
      <c r="G33" s="55">
        <f t="shared" si="4"/>
        <v>47.6</v>
      </c>
      <c r="H33" s="52">
        <v>0.02</v>
      </c>
      <c r="I33" s="52">
        <v>0.04</v>
      </c>
      <c r="J33" s="52">
        <v>3.4</v>
      </c>
      <c r="K33" s="52">
        <v>0</v>
      </c>
      <c r="L33" s="52">
        <v>0.4</v>
      </c>
      <c r="M33" s="52">
        <v>21.2</v>
      </c>
      <c r="N33" s="52">
        <v>22.6</v>
      </c>
      <c r="O33" s="52">
        <v>14.6</v>
      </c>
      <c r="P33" s="52">
        <v>3.2</v>
      </c>
      <c r="Q33" s="52">
        <v>0.12</v>
      </c>
      <c r="R33" s="52">
        <v>0</v>
      </c>
      <c r="S33" s="137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2"/>
    </row>
    <row r="34" spans="1:38" s="63" customFormat="1" ht="15.75" customHeight="1" x14ac:dyDescent="0.25">
      <c r="A34" s="85"/>
      <c r="B34" s="51" t="s">
        <v>4</v>
      </c>
      <c r="C34" s="51">
        <v>25</v>
      </c>
      <c r="D34" s="46">
        <v>1.6875</v>
      </c>
      <c r="E34" s="46">
        <v>0.21499999999999997</v>
      </c>
      <c r="F34" s="46">
        <v>12.5375</v>
      </c>
      <c r="G34" s="55">
        <f t="shared" si="4"/>
        <v>58.835000000000001</v>
      </c>
      <c r="H34" s="46">
        <v>0.03</v>
      </c>
      <c r="I34" s="46">
        <v>6.2500000000000003E-3</v>
      </c>
      <c r="J34" s="46">
        <v>0</v>
      </c>
      <c r="K34" s="46">
        <v>0</v>
      </c>
      <c r="L34" s="46">
        <v>0.27500000000000002</v>
      </c>
      <c r="M34" s="46">
        <v>5</v>
      </c>
      <c r="N34" s="46">
        <v>16.25</v>
      </c>
      <c r="O34" s="46">
        <v>3.5</v>
      </c>
      <c r="P34" s="46">
        <v>0.27500000000000002</v>
      </c>
      <c r="Q34" s="46">
        <v>0.19</v>
      </c>
      <c r="R34" s="46">
        <v>0</v>
      </c>
      <c r="S34" s="113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14"/>
    </row>
    <row r="35" spans="1:38" s="61" customFormat="1" ht="15.75" customHeight="1" x14ac:dyDescent="0.25">
      <c r="A35" s="85"/>
      <c r="B35" s="51" t="s">
        <v>124</v>
      </c>
      <c r="C35" s="51">
        <v>25</v>
      </c>
      <c r="D35" s="52">
        <v>1.6625000000000001</v>
      </c>
      <c r="E35" s="52">
        <v>0.3</v>
      </c>
      <c r="F35" s="52">
        <v>10.462499999999999</v>
      </c>
      <c r="G35" s="55">
        <f t="shared" si="4"/>
        <v>51.199999999999996</v>
      </c>
      <c r="H35" s="52">
        <v>0.13124999999999998</v>
      </c>
      <c r="I35" s="52">
        <v>8.7499999999999981E-2</v>
      </c>
      <c r="J35" s="52">
        <v>0.17499999999999996</v>
      </c>
      <c r="K35" s="52">
        <v>0</v>
      </c>
      <c r="L35" s="52">
        <v>0.13124999999999998</v>
      </c>
      <c r="M35" s="52">
        <v>31.937499999999996</v>
      </c>
      <c r="N35" s="52">
        <v>54.6875</v>
      </c>
      <c r="O35" s="52">
        <v>17.5</v>
      </c>
      <c r="P35" s="52">
        <v>1.2249999999999999</v>
      </c>
      <c r="Q35" s="52">
        <v>0.3</v>
      </c>
      <c r="R35" s="52">
        <v>0.02</v>
      </c>
      <c r="S35" s="137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2"/>
    </row>
    <row r="36" spans="1:38" s="52" customFormat="1" ht="15.75" customHeight="1" x14ac:dyDescent="0.25">
      <c r="A36" s="87"/>
      <c r="B36" s="51" t="s">
        <v>119</v>
      </c>
      <c r="C36" s="51">
        <v>200</v>
      </c>
      <c r="D36" s="55">
        <f>2.9*2</f>
        <v>5.8</v>
      </c>
      <c r="E36" s="55">
        <f>2.5*2</f>
        <v>5</v>
      </c>
      <c r="F36" s="55">
        <f>4*2</f>
        <v>8</v>
      </c>
      <c r="G36" s="55">
        <f t="shared" si="4"/>
        <v>100.2</v>
      </c>
      <c r="H36" s="55">
        <f>0.04*0.75</f>
        <v>0.03</v>
      </c>
      <c r="I36" s="55">
        <v>0.26</v>
      </c>
      <c r="J36" s="55">
        <v>0.54</v>
      </c>
      <c r="K36" s="55">
        <v>0.36</v>
      </c>
      <c r="L36" s="55">
        <v>0</v>
      </c>
      <c r="M36" s="55">
        <v>223.2</v>
      </c>
      <c r="N36" s="55">
        <v>165.6</v>
      </c>
      <c r="O36" s="55">
        <v>25.2</v>
      </c>
      <c r="P36" s="55">
        <v>0.18</v>
      </c>
      <c r="Q36" s="52">
        <v>0.8</v>
      </c>
      <c r="R36" s="52">
        <v>0</v>
      </c>
      <c r="S36" s="13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0"/>
    </row>
    <row r="37" spans="1:38" s="52" customFormat="1" ht="15.75" customHeight="1" x14ac:dyDescent="0.25">
      <c r="A37" s="87"/>
      <c r="B37" s="52" t="s">
        <v>193</v>
      </c>
      <c r="C37" s="52">
        <v>100</v>
      </c>
      <c r="D37" s="52">
        <v>0.5</v>
      </c>
      <c r="E37" s="52">
        <v>0.5</v>
      </c>
      <c r="F37" s="52">
        <v>12.8</v>
      </c>
      <c r="G37" s="52">
        <v>57.7</v>
      </c>
      <c r="H37" s="52">
        <v>0.04</v>
      </c>
      <c r="I37" s="52">
        <v>0.01</v>
      </c>
      <c r="J37" s="52">
        <v>5</v>
      </c>
      <c r="K37" s="52">
        <v>0</v>
      </c>
      <c r="L37" s="52">
        <v>0.33</v>
      </c>
      <c r="M37" s="52">
        <v>25</v>
      </c>
      <c r="N37" s="52">
        <v>18.3</v>
      </c>
      <c r="O37" s="52">
        <v>14.16</v>
      </c>
      <c r="P37" s="52">
        <v>0.5</v>
      </c>
      <c r="Q37" s="52">
        <v>0.48</v>
      </c>
      <c r="R37" s="52">
        <v>0</v>
      </c>
      <c r="S37" s="13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0"/>
    </row>
    <row r="38" spans="1:38" s="52" customFormat="1" ht="15.75" customHeight="1" x14ac:dyDescent="0.25">
      <c r="A38" s="88"/>
      <c r="B38" s="214" t="s">
        <v>21</v>
      </c>
      <c r="C38" s="56">
        <f>SUM(C31:C37)</f>
        <v>785</v>
      </c>
      <c r="D38" s="56">
        <f t="shared" ref="D38:G38" si="5">SUM(D31:D36)</f>
        <v>27.179708737864082</v>
      </c>
      <c r="E38" s="56">
        <f t="shared" si="5"/>
        <v>21.654611650485435</v>
      </c>
      <c r="F38" s="56">
        <f t="shared" si="5"/>
        <v>68.404077669902904</v>
      </c>
      <c r="G38" s="56">
        <f t="shared" si="5"/>
        <v>577.22665048543683</v>
      </c>
      <c r="H38" s="56">
        <v>0.41</v>
      </c>
      <c r="I38" s="56">
        <v>0.62</v>
      </c>
      <c r="J38" s="56">
        <v>20.16</v>
      </c>
      <c r="K38" s="56">
        <v>0.36</v>
      </c>
      <c r="L38" s="56">
        <v>11.21</v>
      </c>
      <c r="M38" s="56">
        <v>320.04000000000002</v>
      </c>
      <c r="N38" s="56">
        <v>511.69</v>
      </c>
      <c r="O38" s="56">
        <v>134.26</v>
      </c>
      <c r="P38" s="56">
        <v>10.31</v>
      </c>
      <c r="Q38" s="56">
        <f>SUM(Q31:Q37)</f>
        <v>5.3900000000000006</v>
      </c>
      <c r="R38" s="56">
        <f>SUM(R31:R37)</f>
        <v>0.02</v>
      </c>
      <c r="S38" s="13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0"/>
    </row>
    <row r="39" spans="1:38" s="46" customFormat="1" ht="15.75" customHeight="1" x14ac:dyDescent="0.25">
      <c r="A39" s="161"/>
      <c r="B39" s="165" t="s">
        <v>186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98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4"/>
    </row>
    <row r="40" spans="1:38" s="46" customFormat="1" ht="15.75" customHeight="1" x14ac:dyDescent="0.25">
      <c r="A40" s="186"/>
      <c r="B40" s="168" t="s">
        <v>190</v>
      </c>
      <c r="C40" s="168">
        <v>60</v>
      </c>
      <c r="D40" s="55">
        <v>0.42</v>
      </c>
      <c r="E40" s="55">
        <v>0.06</v>
      </c>
      <c r="F40" s="55">
        <v>1.1399999999999999</v>
      </c>
      <c r="G40" s="55">
        <f>D40*4+E40*9+F40*4</f>
        <v>6.7799999999999994</v>
      </c>
      <c r="H40" s="55">
        <v>2.4E-2</v>
      </c>
      <c r="I40" s="55">
        <v>1.2E-2</v>
      </c>
      <c r="J40" s="55">
        <v>2.94</v>
      </c>
      <c r="K40" s="55">
        <v>0</v>
      </c>
      <c r="L40" s="55">
        <v>0</v>
      </c>
      <c r="M40" s="55">
        <v>10.199999999999999</v>
      </c>
      <c r="N40" s="55">
        <v>18</v>
      </c>
      <c r="O40" s="55">
        <v>8.4</v>
      </c>
      <c r="P40" s="55">
        <v>0.3</v>
      </c>
      <c r="Q40" s="55">
        <v>0.12</v>
      </c>
      <c r="R40" s="173">
        <v>0</v>
      </c>
      <c r="S40" s="98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4"/>
    </row>
    <row r="41" spans="1:38" s="46" customFormat="1" ht="15.75" customHeight="1" x14ac:dyDescent="0.25">
      <c r="A41" s="168">
        <v>134</v>
      </c>
      <c r="B41" s="168" t="s">
        <v>161</v>
      </c>
      <c r="C41" s="169">
        <v>250</v>
      </c>
      <c r="D41" s="171">
        <v>1.48</v>
      </c>
      <c r="E41" s="171">
        <v>4.92</v>
      </c>
      <c r="F41" s="171">
        <v>6.09</v>
      </c>
      <c r="G41" s="55">
        <f t="shared" ref="G41:G46" si="6">D41*4+E41*9+F41*4</f>
        <v>74.56</v>
      </c>
      <c r="H41" s="171">
        <v>0.04</v>
      </c>
      <c r="I41" s="171">
        <v>0.03</v>
      </c>
      <c r="J41" s="171">
        <v>9.8800000000000008</v>
      </c>
      <c r="K41" s="171">
        <v>0</v>
      </c>
      <c r="L41" s="171">
        <v>0.6</v>
      </c>
      <c r="M41" s="171">
        <v>35.880000000000003</v>
      </c>
      <c r="N41" s="171">
        <v>33.630000000000003</v>
      </c>
      <c r="O41" s="171">
        <v>14.18</v>
      </c>
      <c r="P41" s="174">
        <v>0.57999999999999996</v>
      </c>
      <c r="Q41" s="171">
        <v>0.85</v>
      </c>
      <c r="R41" s="173">
        <v>0.03</v>
      </c>
      <c r="S41" s="98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4"/>
    </row>
    <row r="42" spans="1:38" s="46" customFormat="1" ht="15.75" customHeight="1" x14ac:dyDescent="0.25">
      <c r="A42" s="168">
        <v>371</v>
      </c>
      <c r="B42" s="168" t="s">
        <v>162</v>
      </c>
      <c r="C42" s="169">
        <v>90</v>
      </c>
      <c r="D42" s="55">
        <v>12.27</v>
      </c>
      <c r="E42" s="55">
        <v>5.32</v>
      </c>
      <c r="F42" s="55">
        <v>0.56999999999999995</v>
      </c>
      <c r="G42" s="55">
        <f t="shared" si="6"/>
        <v>99.240000000000009</v>
      </c>
      <c r="H42" s="55">
        <v>0.04</v>
      </c>
      <c r="I42" s="55">
        <v>7.0000000000000007E-2</v>
      </c>
      <c r="J42" s="55">
        <v>1.2</v>
      </c>
      <c r="K42" s="55">
        <v>0.31</v>
      </c>
      <c r="L42" s="55">
        <v>1.45</v>
      </c>
      <c r="M42" s="55">
        <v>27.6</v>
      </c>
      <c r="N42" s="55">
        <v>116.5</v>
      </c>
      <c r="O42" s="55">
        <v>13.44</v>
      </c>
      <c r="P42" s="55">
        <v>0.378</v>
      </c>
      <c r="Q42" s="55">
        <v>0.26</v>
      </c>
      <c r="R42" s="173">
        <v>0.17</v>
      </c>
      <c r="S42" s="98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4"/>
    </row>
    <row r="43" spans="1:38" s="46" customFormat="1" ht="15.75" customHeight="1" x14ac:dyDescent="0.25">
      <c r="A43" s="168">
        <v>520</v>
      </c>
      <c r="B43" s="168" t="s">
        <v>75</v>
      </c>
      <c r="C43" s="169">
        <v>150</v>
      </c>
      <c r="D43" s="170">
        <v>3.07</v>
      </c>
      <c r="E43" s="170">
        <v>4.8</v>
      </c>
      <c r="F43" s="170">
        <v>20.440000000000001</v>
      </c>
      <c r="G43" s="55">
        <f t="shared" si="6"/>
        <v>137.24</v>
      </c>
      <c r="H43" s="170">
        <v>0.14000000000000001</v>
      </c>
      <c r="I43" s="170">
        <v>0.11</v>
      </c>
      <c r="J43" s="170">
        <v>18.16</v>
      </c>
      <c r="K43" s="170">
        <v>0</v>
      </c>
      <c r="L43" s="170">
        <v>0.09</v>
      </c>
      <c r="M43" s="170">
        <v>36.97</v>
      </c>
      <c r="N43" s="170">
        <v>86.59</v>
      </c>
      <c r="O43" s="170">
        <v>27.75</v>
      </c>
      <c r="P43" s="172">
        <v>1.01</v>
      </c>
      <c r="Q43" s="170">
        <v>0.45</v>
      </c>
      <c r="R43" s="173">
        <v>7.0000000000000001E-3</v>
      </c>
      <c r="S43" s="98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4"/>
    </row>
    <row r="44" spans="1:38" s="46" customFormat="1" ht="15.75" customHeight="1" x14ac:dyDescent="0.25">
      <c r="A44" s="168">
        <v>639</v>
      </c>
      <c r="B44" s="168" t="s">
        <v>163</v>
      </c>
      <c r="C44" s="169">
        <v>200</v>
      </c>
      <c r="D44" s="171">
        <v>0.66</v>
      </c>
      <c r="E44" s="171">
        <v>0.09</v>
      </c>
      <c r="F44" s="171">
        <v>32.01</v>
      </c>
      <c r="G44" s="55">
        <f t="shared" si="6"/>
        <v>131.48999999999998</v>
      </c>
      <c r="H44" s="171">
        <v>0.02</v>
      </c>
      <c r="I44" s="171">
        <v>0.02</v>
      </c>
      <c r="J44" s="171">
        <v>0.73</v>
      </c>
      <c r="K44" s="171">
        <v>0</v>
      </c>
      <c r="L44" s="171">
        <v>0</v>
      </c>
      <c r="M44" s="171">
        <v>32.479999999999997</v>
      </c>
      <c r="N44" s="171">
        <v>23.44</v>
      </c>
      <c r="O44" s="171">
        <v>17.46</v>
      </c>
      <c r="P44" s="174">
        <v>0.69</v>
      </c>
      <c r="Q44" s="171">
        <v>0</v>
      </c>
      <c r="R44" s="173">
        <v>0</v>
      </c>
      <c r="S44" s="98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4"/>
    </row>
    <row r="45" spans="1:38" s="46" customFormat="1" ht="15.75" customHeight="1" x14ac:dyDescent="0.25">
      <c r="A45" s="168"/>
      <c r="B45" s="168" t="s">
        <v>160</v>
      </c>
      <c r="C45" s="169">
        <v>40</v>
      </c>
      <c r="D45" s="55">
        <v>2.7</v>
      </c>
      <c r="E45" s="55">
        <v>0.34</v>
      </c>
      <c r="F45" s="55">
        <v>20.059999999999999</v>
      </c>
      <c r="G45" s="55">
        <f t="shared" si="6"/>
        <v>94.1</v>
      </c>
      <c r="H45" s="55">
        <v>0.04</v>
      </c>
      <c r="I45" s="55">
        <v>0.01</v>
      </c>
      <c r="J45" s="55">
        <v>0</v>
      </c>
      <c r="K45" s="55">
        <v>0</v>
      </c>
      <c r="L45" s="55">
        <v>0.44</v>
      </c>
      <c r="M45" s="55">
        <v>8</v>
      </c>
      <c r="N45" s="55">
        <v>26</v>
      </c>
      <c r="O45" s="55">
        <v>5.6</v>
      </c>
      <c r="P45" s="55">
        <v>0.44</v>
      </c>
      <c r="Q45" s="55">
        <v>0</v>
      </c>
      <c r="R45" s="173">
        <v>0</v>
      </c>
      <c r="S45" s="98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4"/>
    </row>
    <row r="46" spans="1:38" s="46" customFormat="1" ht="15.75" customHeight="1" x14ac:dyDescent="0.25">
      <c r="A46" s="168"/>
      <c r="B46" s="168" t="s">
        <v>124</v>
      </c>
      <c r="C46" s="169">
        <v>40</v>
      </c>
      <c r="D46" s="170">
        <v>2.66</v>
      </c>
      <c r="E46" s="170">
        <v>0.48</v>
      </c>
      <c r="F46" s="170">
        <v>16.739999999999998</v>
      </c>
      <c r="G46" s="55">
        <f t="shared" si="6"/>
        <v>81.919999999999987</v>
      </c>
      <c r="H46" s="170">
        <v>0.22</v>
      </c>
      <c r="I46" s="170">
        <v>0.14000000000000001</v>
      </c>
      <c r="J46" s="170">
        <v>0.28000000000000003</v>
      </c>
      <c r="K46" s="170">
        <v>0</v>
      </c>
      <c r="L46" s="170">
        <v>0.22</v>
      </c>
      <c r="M46" s="170">
        <v>51.1</v>
      </c>
      <c r="N46" s="170">
        <v>87.5</v>
      </c>
      <c r="O46" s="170">
        <v>28</v>
      </c>
      <c r="P46" s="172">
        <v>1.96</v>
      </c>
      <c r="Q46" s="170">
        <v>0</v>
      </c>
      <c r="R46" s="173">
        <v>0.04</v>
      </c>
      <c r="S46" s="98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4"/>
    </row>
    <row r="47" spans="1:38" s="46" customFormat="1" ht="15.75" customHeight="1" x14ac:dyDescent="0.25">
      <c r="A47" s="187"/>
      <c r="B47" s="213" t="s">
        <v>21</v>
      </c>
      <c r="C47" s="188">
        <f t="shared" ref="C47:R47" si="7">SUM(C40:C46)</f>
        <v>830</v>
      </c>
      <c r="D47" s="184">
        <f t="shared" si="7"/>
        <v>23.259999999999998</v>
      </c>
      <c r="E47" s="184">
        <f t="shared" si="7"/>
        <v>16.010000000000002</v>
      </c>
      <c r="F47" s="184">
        <f t="shared" si="7"/>
        <v>97.05</v>
      </c>
      <c r="G47" s="184">
        <f t="shared" si="7"/>
        <v>625.33000000000004</v>
      </c>
      <c r="H47" s="184">
        <f t="shared" si="7"/>
        <v>0.52400000000000002</v>
      </c>
      <c r="I47" s="184">
        <f t="shared" si="7"/>
        <v>0.39200000000000002</v>
      </c>
      <c r="J47" s="184">
        <f t="shared" si="7"/>
        <v>33.19</v>
      </c>
      <c r="K47" s="184">
        <f t="shared" si="7"/>
        <v>0.31</v>
      </c>
      <c r="L47" s="184">
        <f t="shared" si="7"/>
        <v>2.8</v>
      </c>
      <c r="M47" s="184">
        <f t="shared" si="7"/>
        <v>202.23</v>
      </c>
      <c r="N47" s="184">
        <f t="shared" si="7"/>
        <v>391.66</v>
      </c>
      <c r="O47" s="184">
        <f t="shared" si="7"/>
        <v>114.82999999999998</v>
      </c>
      <c r="P47" s="184">
        <f t="shared" si="7"/>
        <v>5.3579999999999997</v>
      </c>
      <c r="Q47" s="184">
        <f t="shared" si="7"/>
        <v>1.68</v>
      </c>
      <c r="R47" s="184">
        <f t="shared" si="7"/>
        <v>0.24700000000000003</v>
      </c>
      <c r="S47" s="98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4"/>
    </row>
    <row r="48" spans="1:38" s="46" customFormat="1" ht="15.75" customHeight="1" x14ac:dyDescent="0.25">
      <c r="A48" s="161"/>
      <c r="B48" s="165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98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4"/>
    </row>
    <row r="49" spans="1:38" s="52" customFormat="1" ht="15.75" customHeight="1" x14ac:dyDescent="0.25">
      <c r="A49" s="235" t="s">
        <v>107</v>
      </c>
      <c r="B49" s="23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13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0"/>
    </row>
    <row r="50" spans="1:38" s="46" customFormat="1" ht="15.75" customHeight="1" x14ac:dyDescent="0.25">
      <c r="A50" s="211"/>
      <c r="B50" s="165" t="s">
        <v>195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98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4"/>
    </row>
    <row r="51" spans="1:38" ht="15.75" customHeight="1" x14ac:dyDescent="0.25">
      <c r="A51" s="85">
        <v>15</v>
      </c>
      <c r="B51" s="51" t="s">
        <v>120</v>
      </c>
      <c r="C51" s="51">
        <v>80</v>
      </c>
      <c r="D51" s="46">
        <v>1.0507000000000002</v>
      </c>
      <c r="E51" s="46">
        <v>0.19152</v>
      </c>
      <c r="F51" s="46">
        <v>3.6388800000000003</v>
      </c>
      <c r="G51" s="46">
        <f>F51*4+E51*9+D51*4</f>
        <v>20.482000000000003</v>
      </c>
      <c r="H51" s="46">
        <v>6.3840000000000008E-2</v>
      </c>
      <c r="I51" s="46">
        <v>3.1920000000000004E-2</v>
      </c>
      <c r="J51" s="46">
        <v>16.757999999999999</v>
      </c>
      <c r="K51" s="46">
        <v>0</v>
      </c>
      <c r="L51" s="48">
        <v>0.66500000000000004</v>
      </c>
      <c r="M51" s="48">
        <v>13.406400000000001</v>
      </c>
      <c r="N51" s="48">
        <v>24.897600000000001</v>
      </c>
      <c r="O51" s="48">
        <v>19.152000000000001</v>
      </c>
      <c r="P51" s="48">
        <v>0.86184000000000005</v>
      </c>
      <c r="Q51" s="48">
        <v>0.13600000000000001</v>
      </c>
      <c r="R51" s="48">
        <v>0</v>
      </c>
    </row>
    <row r="52" spans="1:38" ht="15.75" customHeight="1" x14ac:dyDescent="0.25">
      <c r="A52" s="85">
        <v>453</v>
      </c>
      <c r="B52" s="51" t="s">
        <v>86</v>
      </c>
      <c r="C52" s="51">
        <v>90</v>
      </c>
      <c r="D52" s="55">
        <v>9.5</v>
      </c>
      <c r="E52" s="55">
        <v>12.64</v>
      </c>
      <c r="F52" s="55">
        <v>9.73</v>
      </c>
      <c r="G52" s="46">
        <f t="shared" ref="G52:G56" si="8">F52*4+E52*9+D52*4</f>
        <v>190.68</v>
      </c>
      <c r="H52" s="55">
        <v>7.0000000000000007E-2</v>
      </c>
      <c r="I52" s="55">
        <v>0.14000000000000001</v>
      </c>
      <c r="J52" s="55">
        <v>0.51</v>
      </c>
      <c r="K52" s="55">
        <v>0.81</v>
      </c>
      <c r="L52" s="55">
        <v>2.2999999999999998</v>
      </c>
      <c r="M52" s="55">
        <v>78.2</v>
      </c>
      <c r="N52" s="55">
        <v>78.52</v>
      </c>
      <c r="O52" s="55">
        <v>16.16</v>
      </c>
      <c r="P52" s="55">
        <v>28.97</v>
      </c>
      <c r="Q52" s="52">
        <v>2</v>
      </c>
      <c r="R52" s="52">
        <v>0.1</v>
      </c>
      <c r="S52" s="135"/>
    </row>
    <row r="53" spans="1:38" ht="15.75" customHeight="1" x14ac:dyDescent="0.25">
      <c r="A53" s="90">
        <v>302</v>
      </c>
      <c r="B53" s="51" t="s">
        <v>121</v>
      </c>
      <c r="C53" s="51">
        <v>150</v>
      </c>
      <c r="D53" s="52">
        <v>6.97</v>
      </c>
      <c r="E53" s="52">
        <v>3.5994999999999995</v>
      </c>
      <c r="F53" s="52">
        <v>33.484999999999999</v>
      </c>
      <c r="G53" s="46">
        <f t="shared" si="8"/>
        <v>194.21549999999999</v>
      </c>
      <c r="H53" s="52">
        <v>0.20699999999999999</v>
      </c>
      <c r="I53" s="52">
        <v>0.11499999999999999</v>
      </c>
      <c r="J53" s="52">
        <v>0</v>
      </c>
      <c r="K53" s="52">
        <v>0.4</v>
      </c>
      <c r="L53" s="52">
        <v>0.50600000000000001</v>
      </c>
      <c r="M53" s="52">
        <v>27.0825</v>
      </c>
      <c r="N53" s="52">
        <v>213.43999999999997</v>
      </c>
      <c r="O53" s="52">
        <v>142.48499999999999</v>
      </c>
      <c r="P53" s="52">
        <v>4.83</v>
      </c>
      <c r="Q53" s="52">
        <v>1.1000000000000001</v>
      </c>
      <c r="R53" s="52">
        <v>0</v>
      </c>
      <c r="S53" s="135"/>
    </row>
    <row r="54" spans="1:38" s="53" customFormat="1" ht="15.75" customHeight="1" x14ac:dyDescent="0.25">
      <c r="A54" s="85">
        <v>692</v>
      </c>
      <c r="B54" s="51" t="s">
        <v>66</v>
      </c>
      <c r="C54" s="51">
        <v>200</v>
      </c>
      <c r="D54" s="52">
        <v>2.9</v>
      </c>
      <c r="E54" s="52">
        <v>2.5</v>
      </c>
      <c r="F54" s="52">
        <v>14.7</v>
      </c>
      <c r="G54" s="46">
        <f t="shared" si="8"/>
        <v>92.899999999999991</v>
      </c>
      <c r="H54" s="52">
        <v>0.02</v>
      </c>
      <c r="I54" s="52">
        <v>0.13</v>
      </c>
      <c r="J54" s="52">
        <v>0.6</v>
      </c>
      <c r="K54" s="52">
        <v>0.1</v>
      </c>
      <c r="L54" s="52">
        <v>0.1</v>
      </c>
      <c r="M54" s="52">
        <v>120.3</v>
      </c>
      <c r="N54" s="52">
        <v>90</v>
      </c>
      <c r="O54" s="52">
        <v>14</v>
      </c>
      <c r="P54" s="52">
        <v>0.13</v>
      </c>
      <c r="Q54" s="52">
        <v>0.4</v>
      </c>
      <c r="R54" s="52">
        <v>0</v>
      </c>
      <c r="S54" s="13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39"/>
    </row>
    <row r="55" spans="1:38" ht="15.75" customHeight="1" x14ac:dyDescent="0.25">
      <c r="A55" s="85"/>
      <c r="B55" s="51" t="s">
        <v>4</v>
      </c>
      <c r="C55" s="51">
        <v>25</v>
      </c>
      <c r="D55" s="46">
        <v>1.6875</v>
      </c>
      <c r="E55" s="46">
        <v>0.21499999999999997</v>
      </c>
      <c r="F55" s="46">
        <v>12.5375</v>
      </c>
      <c r="G55" s="46">
        <f t="shared" si="8"/>
        <v>58.835000000000001</v>
      </c>
      <c r="H55" s="46">
        <v>0.03</v>
      </c>
      <c r="I55" s="46">
        <v>6.2500000000000003E-3</v>
      </c>
      <c r="J55" s="46">
        <v>0</v>
      </c>
      <c r="K55" s="46">
        <v>0</v>
      </c>
      <c r="L55" s="46">
        <v>0.27500000000000002</v>
      </c>
      <c r="M55" s="46">
        <v>5</v>
      </c>
      <c r="N55" s="46">
        <v>16.25</v>
      </c>
      <c r="O55" s="46">
        <v>3.5</v>
      </c>
      <c r="P55" s="46">
        <v>0.27500000000000002</v>
      </c>
      <c r="Q55" s="46">
        <v>0.19</v>
      </c>
      <c r="R55" s="46">
        <v>0</v>
      </c>
      <c r="S55" s="135"/>
    </row>
    <row r="56" spans="1:38" s="52" customFormat="1" ht="15.75" customHeight="1" x14ac:dyDescent="0.25">
      <c r="A56" s="85"/>
      <c r="B56" s="51" t="s">
        <v>124</v>
      </c>
      <c r="C56" s="51">
        <v>25</v>
      </c>
      <c r="D56" s="52">
        <v>1.6625000000000001</v>
      </c>
      <c r="E56" s="52">
        <v>0.3</v>
      </c>
      <c r="F56" s="52">
        <v>10.462499999999999</v>
      </c>
      <c r="G56" s="46">
        <f t="shared" si="8"/>
        <v>51.199999999999996</v>
      </c>
      <c r="H56" s="52">
        <v>0.13124999999999998</v>
      </c>
      <c r="I56" s="52">
        <v>8.7499999999999981E-2</v>
      </c>
      <c r="J56" s="52">
        <v>0.17499999999999996</v>
      </c>
      <c r="K56" s="52">
        <v>0</v>
      </c>
      <c r="L56" s="52">
        <v>0.13124999999999998</v>
      </c>
      <c r="M56" s="52">
        <v>31.937499999999996</v>
      </c>
      <c r="N56" s="52">
        <v>54.6875</v>
      </c>
      <c r="O56" s="52">
        <v>17.5</v>
      </c>
      <c r="P56" s="52">
        <v>1.2249999999999999</v>
      </c>
      <c r="Q56" s="52">
        <v>0.3</v>
      </c>
      <c r="R56" s="52">
        <v>0.01</v>
      </c>
      <c r="S56" s="13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0"/>
    </row>
    <row r="57" spans="1:38" ht="15.75" customHeight="1" x14ac:dyDescent="0.25">
      <c r="A57" s="85"/>
      <c r="B57" s="51" t="s">
        <v>193</v>
      </c>
      <c r="C57" s="51">
        <v>100</v>
      </c>
      <c r="D57" s="52">
        <v>1.08</v>
      </c>
      <c r="E57" s="52">
        <v>0.12</v>
      </c>
      <c r="F57" s="52">
        <v>10.8</v>
      </c>
      <c r="G57" s="46">
        <v>48.6</v>
      </c>
      <c r="H57" s="52">
        <v>0.03</v>
      </c>
      <c r="I57" s="52">
        <v>0.06</v>
      </c>
      <c r="J57" s="52">
        <v>12</v>
      </c>
      <c r="K57" s="52">
        <v>0</v>
      </c>
      <c r="L57" s="52">
        <v>1.32</v>
      </c>
      <c r="M57" s="52">
        <v>33.6</v>
      </c>
      <c r="N57" s="52">
        <v>31.2</v>
      </c>
      <c r="O57" s="52">
        <v>9.6</v>
      </c>
      <c r="P57" s="52">
        <v>0.84</v>
      </c>
      <c r="Q57" s="52">
        <v>0.09</v>
      </c>
      <c r="R57" s="52">
        <v>0</v>
      </c>
      <c r="S57" s="135"/>
    </row>
    <row r="58" spans="1:38" s="52" customFormat="1" ht="15.75" customHeight="1" x14ac:dyDescent="0.25">
      <c r="A58" s="88"/>
      <c r="B58" s="214" t="s">
        <v>21</v>
      </c>
      <c r="C58" s="56">
        <f t="shared" ref="C58:R58" si="9">SUM(C51:C57)</f>
        <v>670</v>
      </c>
      <c r="D58" s="56">
        <f t="shared" si="9"/>
        <v>24.850700000000003</v>
      </c>
      <c r="E58" s="56">
        <f t="shared" si="9"/>
        <v>19.566020000000002</v>
      </c>
      <c r="F58" s="56">
        <f t="shared" si="9"/>
        <v>95.35387999999999</v>
      </c>
      <c r="G58" s="56">
        <f t="shared" si="9"/>
        <v>656.91250000000002</v>
      </c>
      <c r="H58" s="56">
        <f t="shared" si="9"/>
        <v>0.55209000000000008</v>
      </c>
      <c r="I58" s="56">
        <f t="shared" si="9"/>
        <v>0.57067000000000001</v>
      </c>
      <c r="J58" s="56">
        <f t="shared" si="9"/>
        <v>30.043000000000003</v>
      </c>
      <c r="K58" s="56">
        <f t="shared" si="9"/>
        <v>1.31</v>
      </c>
      <c r="L58" s="56">
        <f t="shared" si="9"/>
        <v>5.29725</v>
      </c>
      <c r="M58" s="56">
        <f t="shared" si="9"/>
        <v>309.52640000000002</v>
      </c>
      <c r="N58" s="56">
        <f t="shared" si="9"/>
        <v>508.99509999999992</v>
      </c>
      <c r="O58" s="56">
        <f t="shared" si="9"/>
        <v>222.39699999999996</v>
      </c>
      <c r="P58" s="56">
        <f t="shared" si="9"/>
        <v>37.131840000000004</v>
      </c>
      <c r="Q58" s="56">
        <f t="shared" si="9"/>
        <v>4.2160000000000002</v>
      </c>
      <c r="R58" s="56">
        <f t="shared" si="9"/>
        <v>0.11</v>
      </c>
      <c r="S58" s="13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0"/>
    </row>
    <row r="59" spans="1:38" s="46" customFormat="1" ht="15.75" customHeight="1" x14ac:dyDescent="0.25">
      <c r="A59" s="161"/>
      <c r="B59" s="165" t="s">
        <v>186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98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4"/>
    </row>
    <row r="60" spans="1:38" s="46" customFormat="1" ht="15.75" customHeight="1" x14ac:dyDescent="0.25">
      <c r="A60" s="190">
        <v>137</v>
      </c>
      <c r="B60" s="191" t="s">
        <v>165</v>
      </c>
      <c r="C60" s="219" t="s">
        <v>166</v>
      </c>
      <c r="D60" s="170">
        <f>2.19+3.99</f>
        <v>6.18</v>
      </c>
      <c r="E60" s="170">
        <f>2.78+2.74</f>
        <v>5.52</v>
      </c>
      <c r="F60" s="170">
        <f>15.39+0.15</f>
        <v>15.540000000000001</v>
      </c>
      <c r="G60" s="170">
        <f>D60*4+E60*9+F60*4</f>
        <v>136.56</v>
      </c>
      <c r="H60" s="170">
        <v>0.12</v>
      </c>
      <c r="I60" s="170">
        <v>7.0000000000000007E-2</v>
      </c>
      <c r="J60" s="170">
        <v>11.07</v>
      </c>
      <c r="K60" s="170">
        <v>0</v>
      </c>
      <c r="L60" s="170">
        <v>0.5</v>
      </c>
      <c r="M60" s="170">
        <v>29.7</v>
      </c>
      <c r="N60" s="170">
        <v>72.22</v>
      </c>
      <c r="O60" s="170">
        <v>29.6</v>
      </c>
      <c r="P60" s="172">
        <v>1.1499999999999999</v>
      </c>
      <c r="Q60" s="170">
        <v>1.25</v>
      </c>
      <c r="R60" s="173">
        <v>7.0000000000000007E-2</v>
      </c>
      <c r="S60" s="98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4"/>
    </row>
    <row r="61" spans="1:38" s="46" customFormat="1" ht="15.75" customHeight="1" x14ac:dyDescent="0.25">
      <c r="A61" s="192">
        <v>366</v>
      </c>
      <c r="B61" s="192" t="s">
        <v>196</v>
      </c>
      <c r="C61" s="193">
        <v>150</v>
      </c>
      <c r="D61" s="178">
        <v>20.87</v>
      </c>
      <c r="E61" s="178">
        <v>14.36</v>
      </c>
      <c r="F61" s="178">
        <v>32.35</v>
      </c>
      <c r="G61" s="170">
        <f t="shared" ref="G61:G66" si="10">D61*4+E61*9+F61*4</f>
        <v>342.12</v>
      </c>
      <c r="H61" s="178">
        <v>7.0000000000000007E-2</v>
      </c>
      <c r="I61" s="178">
        <v>0.31</v>
      </c>
      <c r="J61" s="178">
        <v>0.94</v>
      </c>
      <c r="K61" s="178">
        <v>0.88</v>
      </c>
      <c r="L61" s="171">
        <v>0.4</v>
      </c>
      <c r="M61" s="178">
        <v>184.9</v>
      </c>
      <c r="N61" s="178">
        <v>256.20999999999998</v>
      </c>
      <c r="O61" s="178">
        <v>29.3</v>
      </c>
      <c r="P61" s="178">
        <v>1.34</v>
      </c>
      <c r="Q61" s="178">
        <v>1.08</v>
      </c>
      <c r="R61" s="173">
        <v>0.06</v>
      </c>
      <c r="S61" s="98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4"/>
    </row>
    <row r="62" spans="1:38" s="46" customFormat="1" ht="15.75" customHeight="1" x14ac:dyDescent="0.25">
      <c r="A62" s="192">
        <v>600</v>
      </c>
      <c r="B62" s="168" t="s">
        <v>197</v>
      </c>
      <c r="C62" s="168">
        <v>25</v>
      </c>
      <c r="D62" s="170">
        <v>0.49</v>
      </c>
      <c r="E62" s="170">
        <v>1.75</v>
      </c>
      <c r="F62" s="170">
        <f>2.05+9.98</f>
        <v>12.030000000000001</v>
      </c>
      <c r="G62" s="55">
        <f t="shared" si="10"/>
        <v>65.830000000000013</v>
      </c>
      <c r="H62" s="170">
        <v>0.01</v>
      </c>
      <c r="I62" s="170">
        <v>0.01</v>
      </c>
      <c r="J62" s="170">
        <v>0.01</v>
      </c>
      <c r="K62" s="170">
        <v>0.01</v>
      </c>
      <c r="L62" s="171">
        <v>0</v>
      </c>
      <c r="M62" s="170">
        <f>9.55+0.3</f>
        <v>9.8500000000000014</v>
      </c>
      <c r="N62" s="170">
        <v>7.95</v>
      </c>
      <c r="O62" s="170">
        <v>1.84</v>
      </c>
      <c r="P62" s="172">
        <f>0.07+0.03</f>
        <v>0.1</v>
      </c>
      <c r="Q62" s="170">
        <v>0.08</v>
      </c>
      <c r="R62" s="179">
        <v>0.02</v>
      </c>
      <c r="S62" s="98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4"/>
    </row>
    <row r="63" spans="1:38" s="46" customFormat="1" ht="15.75" customHeight="1" x14ac:dyDescent="0.25">
      <c r="A63" s="192"/>
      <c r="B63" s="194" t="s">
        <v>198</v>
      </c>
      <c r="C63" s="194">
        <v>180</v>
      </c>
      <c r="D63" s="178">
        <v>0.52</v>
      </c>
      <c r="E63" s="178">
        <v>0.18</v>
      </c>
      <c r="F63" s="178">
        <v>28.86</v>
      </c>
      <c r="G63" s="170">
        <f t="shared" si="10"/>
        <v>119.14</v>
      </c>
      <c r="H63" s="178">
        <v>1.4E-2</v>
      </c>
      <c r="I63" s="178">
        <v>1.7999999999999999E-2</v>
      </c>
      <c r="J63" s="178">
        <v>27.6</v>
      </c>
      <c r="K63" s="178">
        <v>0</v>
      </c>
      <c r="L63" s="178">
        <v>0</v>
      </c>
      <c r="M63" s="178">
        <v>23.7</v>
      </c>
      <c r="N63" s="178">
        <v>18.399999999999999</v>
      </c>
      <c r="O63" s="178">
        <v>13.4</v>
      </c>
      <c r="P63" s="178">
        <v>0.71199999999999997</v>
      </c>
      <c r="Q63" s="178">
        <v>0.01</v>
      </c>
      <c r="R63" s="173">
        <v>0</v>
      </c>
      <c r="S63" s="98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4"/>
    </row>
    <row r="64" spans="1:38" s="46" customFormat="1" ht="15.75" customHeight="1" x14ac:dyDescent="0.25">
      <c r="A64" s="192"/>
      <c r="B64" s="168" t="s">
        <v>160</v>
      </c>
      <c r="C64" s="193">
        <v>40</v>
      </c>
      <c r="D64" s="195">
        <v>2.7</v>
      </c>
      <c r="E64" s="195">
        <v>0.34</v>
      </c>
      <c r="F64" s="195">
        <v>20.059999999999999</v>
      </c>
      <c r="G64" s="170">
        <f t="shared" si="10"/>
        <v>94.1</v>
      </c>
      <c r="H64" s="195">
        <v>0.04</v>
      </c>
      <c r="I64" s="195">
        <v>0.01</v>
      </c>
      <c r="J64" s="195">
        <v>0</v>
      </c>
      <c r="K64" s="195">
        <v>0</v>
      </c>
      <c r="L64" s="195">
        <v>0.44</v>
      </c>
      <c r="M64" s="195">
        <v>8</v>
      </c>
      <c r="N64" s="195">
        <v>26</v>
      </c>
      <c r="O64" s="195">
        <v>5.6</v>
      </c>
      <c r="P64" s="195">
        <v>0.44</v>
      </c>
      <c r="Q64" s="195">
        <v>0</v>
      </c>
      <c r="R64" s="173">
        <v>0</v>
      </c>
      <c r="S64" s="98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4"/>
    </row>
    <row r="65" spans="1:38" s="46" customFormat="1" ht="15.75" customHeight="1" x14ac:dyDescent="0.25">
      <c r="A65" s="168"/>
      <c r="B65" s="168" t="s">
        <v>124</v>
      </c>
      <c r="C65" s="169">
        <v>40</v>
      </c>
      <c r="D65" s="170">
        <v>2.66</v>
      </c>
      <c r="E65" s="170">
        <v>0.48</v>
      </c>
      <c r="F65" s="170">
        <v>16.739999999999998</v>
      </c>
      <c r="G65" s="170">
        <f t="shared" si="10"/>
        <v>81.919999999999987</v>
      </c>
      <c r="H65" s="170">
        <v>0.22</v>
      </c>
      <c r="I65" s="170">
        <v>0.14000000000000001</v>
      </c>
      <c r="J65" s="170">
        <v>0.28000000000000003</v>
      </c>
      <c r="K65" s="170">
        <v>0</v>
      </c>
      <c r="L65" s="170">
        <v>0.22</v>
      </c>
      <c r="M65" s="170">
        <v>51.1</v>
      </c>
      <c r="N65" s="170">
        <v>87.5</v>
      </c>
      <c r="O65" s="170">
        <v>28</v>
      </c>
      <c r="P65" s="172">
        <v>1.96</v>
      </c>
      <c r="Q65" s="170">
        <v>0</v>
      </c>
      <c r="R65" s="173">
        <v>0.04</v>
      </c>
      <c r="S65" s="98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4"/>
    </row>
    <row r="66" spans="1:38" s="46" customFormat="1" ht="15.75" customHeight="1" x14ac:dyDescent="0.25">
      <c r="A66" s="168"/>
      <c r="B66" s="168" t="s">
        <v>167</v>
      </c>
      <c r="C66" s="169">
        <v>180</v>
      </c>
      <c r="D66" s="170">
        <v>4.37</v>
      </c>
      <c r="E66" s="170">
        <f>2.7*1.8</f>
        <v>4.8600000000000003</v>
      </c>
      <c r="F66" s="170">
        <v>7.1749999999999998</v>
      </c>
      <c r="G66" s="170">
        <f t="shared" si="10"/>
        <v>89.92</v>
      </c>
      <c r="H66" s="170">
        <v>3.5000000000000003E-2</v>
      </c>
      <c r="I66" s="170">
        <v>0.245</v>
      </c>
      <c r="J66" s="170">
        <v>0.52</v>
      </c>
      <c r="K66" s="170">
        <v>0.35</v>
      </c>
      <c r="L66" s="170">
        <v>0</v>
      </c>
      <c r="M66" s="170">
        <v>217</v>
      </c>
      <c r="N66" s="170">
        <v>57.96</v>
      </c>
      <c r="O66" s="170">
        <v>24.5</v>
      </c>
      <c r="P66" s="170">
        <v>0.17499999999999999</v>
      </c>
      <c r="Q66" s="170">
        <v>0.7</v>
      </c>
      <c r="R66" s="173">
        <v>0</v>
      </c>
      <c r="S66" s="98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4"/>
    </row>
    <row r="67" spans="1:38" s="46" customFormat="1" ht="15.75" customHeight="1" x14ac:dyDescent="0.25">
      <c r="A67" s="187"/>
      <c r="B67" s="213" t="s">
        <v>21</v>
      </c>
      <c r="C67" s="188">
        <f>SUM(C60:C66)+270</f>
        <v>885</v>
      </c>
      <c r="D67" s="184">
        <f t="shared" ref="D67:R67" si="11">SUM(D60:D66)</f>
        <v>37.79</v>
      </c>
      <c r="E67" s="184">
        <f t="shared" si="11"/>
        <v>27.49</v>
      </c>
      <c r="F67" s="184">
        <f t="shared" si="11"/>
        <v>132.755</v>
      </c>
      <c r="G67" s="184">
        <f t="shared" si="11"/>
        <v>929.58999999999992</v>
      </c>
      <c r="H67" s="184">
        <f t="shared" si="11"/>
        <v>0.50900000000000001</v>
      </c>
      <c r="I67" s="184">
        <f t="shared" si="11"/>
        <v>0.80300000000000005</v>
      </c>
      <c r="J67" s="184">
        <f t="shared" si="11"/>
        <v>40.420000000000009</v>
      </c>
      <c r="K67" s="184">
        <f t="shared" si="11"/>
        <v>1.24</v>
      </c>
      <c r="L67" s="184">
        <f t="shared" si="11"/>
        <v>1.56</v>
      </c>
      <c r="M67" s="184">
        <f t="shared" si="11"/>
        <v>524.25</v>
      </c>
      <c r="N67" s="184">
        <f t="shared" si="11"/>
        <v>526.2399999999999</v>
      </c>
      <c r="O67" s="184">
        <f t="shared" si="11"/>
        <v>132.24</v>
      </c>
      <c r="P67" s="184">
        <f t="shared" si="11"/>
        <v>5.8769999999999998</v>
      </c>
      <c r="Q67" s="184">
        <f t="shared" si="11"/>
        <v>3.12</v>
      </c>
      <c r="R67" s="184">
        <f t="shared" si="11"/>
        <v>0.19</v>
      </c>
      <c r="S67" s="98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4"/>
    </row>
    <row r="68" spans="1:38" s="46" customFormat="1" ht="15.75" customHeight="1" x14ac:dyDescent="0.25">
      <c r="A68" s="196"/>
      <c r="B68" s="197"/>
      <c r="C68" s="198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98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4"/>
    </row>
    <row r="69" spans="1:38" s="63" customFormat="1" ht="15.75" customHeight="1" x14ac:dyDescent="0.25">
      <c r="A69" s="235" t="s">
        <v>108</v>
      </c>
      <c r="B69" s="236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137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14"/>
    </row>
    <row r="70" spans="1:38" s="62" customFormat="1" ht="15.75" customHeight="1" x14ac:dyDescent="0.25">
      <c r="A70" s="211"/>
      <c r="B70" s="165" t="s">
        <v>195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113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220"/>
    </row>
    <row r="71" spans="1:38" ht="15.75" customHeight="1" x14ac:dyDescent="0.25">
      <c r="A71" s="85">
        <v>43</v>
      </c>
      <c r="B71" s="51" t="s">
        <v>123</v>
      </c>
      <c r="C71" s="51">
        <v>80</v>
      </c>
      <c r="D71" s="52">
        <v>1.0507000000000002</v>
      </c>
      <c r="E71" s="52">
        <v>0.19152</v>
      </c>
      <c r="F71" s="52">
        <v>3.6388800000000003</v>
      </c>
      <c r="G71" s="52">
        <f>F71*4+E71*9+D71*4</f>
        <v>20.482000000000003</v>
      </c>
      <c r="H71" s="52">
        <v>6.3840000000000008E-2</v>
      </c>
      <c r="I71" s="52">
        <v>3.1920000000000004E-2</v>
      </c>
      <c r="J71" s="52">
        <v>16.757999999999999</v>
      </c>
      <c r="K71" s="52">
        <v>0</v>
      </c>
      <c r="L71" s="52">
        <v>0.66500000000000004</v>
      </c>
      <c r="M71" s="52">
        <v>13.406400000000001</v>
      </c>
      <c r="N71" s="52">
        <v>24.897600000000001</v>
      </c>
      <c r="O71" s="52">
        <v>19.152000000000001</v>
      </c>
      <c r="P71" s="52">
        <v>0.86184000000000005</v>
      </c>
      <c r="Q71" s="48">
        <v>0.13600000000000001</v>
      </c>
      <c r="R71" s="48">
        <v>0</v>
      </c>
      <c r="S71" s="135"/>
    </row>
    <row r="72" spans="1:38" s="53" customFormat="1" ht="15.75" customHeight="1" x14ac:dyDescent="0.25">
      <c r="A72" s="85">
        <v>386</v>
      </c>
      <c r="B72" s="51" t="s">
        <v>102</v>
      </c>
      <c r="C72" s="51">
        <v>110</v>
      </c>
      <c r="D72" s="46">
        <f>6.4+1.33</f>
        <v>7.73</v>
      </c>
      <c r="E72" s="46">
        <f>4.08+4.61</f>
        <v>8.6900000000000013</v>
      </c>
      <c r="F72" s="46">
        <f>5.8+4.9</f>
        <v>10.7</v>
      </c>
      <c r="G72" s="52">
        <f t="shared" ref="G72:G75" si="12">F72*4+E72*9+D72*4</f>
        <v>151.93</v>
      </c>
      <c r="H72" s="46">
        <v>5.6000000000000001E-2</v>
      </c>
      <c r="I72" s="46">
        <v>0.08</v>
      </c>
      <c r="J72" s="46">
        <f>2.67+0.16</f>
        <v>2.83</v>
      </c>
      <c r="K72" s="46">
        <v>0.41</v>
      </c>
      <c r="L72" s="46">
        <v>0</v>
      </c>
      <c r="M72" s="46">
        <f>35.72+33.4</f>
        <v>69.12</v>
      </c>
      <c r="N72" s="46">
        <f>61.69+29.09</f>
        <v>90.78</v>
      </c>
      <c r="O72" s="46">
        <f>14.12+5.84</f>
        <v>19.96</v>
      </c>
      <c r="P72" s="46">
        <f>0.372+0.14</f>
        <v>0.51200000000000001</v>
      </c>
      <c r="Q72" s="52">
        <f>0.48+0.2</f>
        <v>0.67999999999999994</v>
      </c>
      <c r="R72" s="52">
        <v>0.1</v>
      </c>
      <c r="S72" s="13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39"/>
    </row>
    <row r="73" spans="1:38" ht="15.75" customHeight="1" x14ac:dyDescent="0.25">
      <c r="A73" s="85">
        <v>520</v>
      </c>
      <c r="B73" s="51" t="s">
        <v>75</v>
      </c>
      <c r="C73" s="51">
        <v>150</v>
      </c>
      <c r="D73" s="52">
        <v>3.4577999999999998</v>
      </c>
      <c r="E73" s="52">
        <v>5.4239999999999995</v>
      </c>
      <c r="F73" s="52">
        <v>23.051999999999996</v>
      </c>
      <c r="G73" s="52">
        <f t="shared" si="12"/>
        <v>154.85519999999997</v>
      </c>
      <c r="H73" s="52">
        <v>0.15820000000000001</v>
      </c>
      <c r="I73" s="52">
        <v>0.12429999999999999</v>
      </c>
      <c r="J73" s="52">
        <v>20.452999999999999</v>
      </c>
      <c r="K73" s="52">
        <v>0</v>
      </c>
      <c r="L73" s="52">
        <v>0.20339999999999997</v>
      </c>
      <c r="M73" s="52">
        <v>41.696999999999996</v>
      </c>
      <c r="N73" s="52">
        <v>97.74499999999999</v>
      </c>
      <c r="O73" s="52">
        <v>31.357499999999998</v>
      </c>
      <c r="P73" s="52">
        <v>1.1413</v>
      </c>
      <c r="Q73" s="52">
        <v>0.64</v>
      </c>
      <c r="R73" s="52">
        <v>1E-3</v>
      </c>
      <c r="S73" s="135"/>
    </row>
    <row r="74" spans="1:38" s="52" customFormat="1" ht="15.75" customHeight="1" x14ac:dyDescent="0.25">
      <c r="A74" s="85">
        <v>686</v>
      </c>
      <c r="B74" s="51" t="s">
        <v>38</v>
      </c>
      <c r="C74" s="51">
        <v>200</v>
      </c>
      <c r="D74" s="55">
        <v>0.13</v>
      </c>
      <c r="E74" s="55">
        <v>1.8000000000000002E-2</v>
      </c>
      <c r="F74" s="55">
        <f>15.2-4.95</f>
        <v>10.25</v>
      </c>
      <c r="G74" s="52">
        <f t="shared" si="12"/>
        <v>41.682000000000002</v>
      </c>
      <c r="H74" s="55">
        <v>0</v>
      </c>
      <c r="I74" s="55">
        <v>0</v>
      </c>
      <c r="J74" s="55">
        <v>2.83</v>
      </c>
      <c r="K74" s="55">
        <v>0</v>
      </c>
      <c r="L74" s="55">
        <v>0.05</v>
      </c>
      <c r="M74" s="55">
        <v>14.05</v>
      </c>
      <c r="N74" s="55">
        <v>4.4000000000000004</v>
      </c>
      <c r="O74" s="55">
        <v>2.4</v>
      </c>
      <c r="P74" s="55">
        <v>0.38</v>
      </c>
      <c r="Q74" s="55">
        <v>0.02</v>
      </c>
      <c r="R74" s="52">
        <v>0</v>
      </c>
      <c r="S74" s="13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0"/>
    </row>
    <row r="75" spans="1:38" s="52" customFormat="1" ht="15.75" customHeight="1" x14ac:dyDescent="0.25">
      <c r="A75" s="85"/>
      <c r="B75" s="51" t="s">
        <v>124</v>
      </c>
      <c r="C75" s="51">
        <v>25</v>
      </c>
      <c r="D75" s="52">
        <v>1.6625000000000001</v>
      </c>
      <c r="E75" s="52">
        <v>0.3</v>
      </c>
      <c r="F75" s="52">
        <v>10.462499999999999</v>
      </c>
      <c r="G75" s="52">
        <f t="shared" si="12"/>
        <v>51.199999999999996</v>
      </c>
      <c r="H75" s="52">
        <v>0.13124999999999998</v>
      </c>
      <c r="I75" s="52">
        <v>8.7499999999999981E-2</v>
      </c>
      <c r="J75" s="52">
        <v>0.17499999999999996</v>
      </c>
      <c r="K75" s="52">
        <v>0</v>
      </c>
      <c r="L75" s="52">
        <v>0.13124999999999998</v>
      </c>
      <c r="M75" s="52">
        <v>31.937499999999996</v>
      </c>
      <c r="N75" s="52">
        <v>54.6875</v>
      </c>
      <c r="O75" s="52">
        <v>17.5</v>
      </c>
      <c r="P75" s="52">
        <v>1.2249999999999999</v>
      </c>
      <c r="Q75" s="52">
        <v>0.3</v>
      </c>
      <c r="R75" s="52">
        <v>0.02</v>
      </c>
      <c r="S75" s="13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0"/>
    </row>
    <row r="76" spans="1:38" s="52" customFormat="1" ht="15.75" customHeight="1" x14ac:dyDescent="0.25">
      <c r="A76" s="87"/>
      <c r="B76" s="51" t="s">
        <v>193</v>
      </c>
      <c r="C76" s="51">
        <v>100</v>
      </c>
      <c r="D76" s="52">
        <v>0.5</v>
      </c>
      <c r="E76" s="55">
        <v>0.5</v>
      </c>
      <c r="F76" s="55">
        <v>12.83</v>
      </c>
      <c r="G76" s="52">
        <v>57.82</v>
      </c>
      <c r="H76" s="55">
        <v>0.04</v>
      </c>
      <c r="I76" s="55">
        <v>0.02</v>
      </c>
      <c r="J76" s="55">
        <v>5</v>
      </c>
      <c r="K76" s="55">
        <v>0</v>
      </c>
      <c r="L76" s="55">
        <v>0.33</v>
      </c>
      <c r="M76" s="55">
        <v>25</v>
      </c>
      <c r="N76" s="55">
        <v>18.329999999999998</v>
      </c>
      <c r="O76" s="55">
        <v>14.17</v>
      </c>
      <c r="P76" s="55">
        <v>0.5</v>
      </c>
      <c r="Q76" s="55">
        <v>0.09</v>
      </c>
      <c r="R76" s="52">
        <v>0</v>
      </c>
      <c r="S76" s="13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0"/>
    </row>
    <row r="77" spans="1:38" ht="15.75" customHeight="1" x14ac:dyDescent="0.25">
      <c r="A77" s="88"/>
      <c r="B77" s="214" t="s">
        <v>21</v>
      </c>
      <c r="C77" s="56">
        <f t="shared" ref="C77:R77" si="13">SUM(C71:C76)</f>
        <v>665</v>
      </c>
      <c r="D77" s="56">
        <f t="shared" si="13"/>
        <v>14.531000000000002</v>
      </c>
      <c r="E77" s="56">
        <f t="shared" si="13"/>
        <v>15.123520000000003</v>
      </c>
      <c r="F77" s="56">
        <f t="shared" si="13"/>
        <v>70.93338</v>
      </c>
      <c r="G77" s="56">
        <f t="shared" si="13"/>
        <v>477.9692</v>
      </c>
      <c r="H77" s="56">
        <f t="shared" si="13"/>
        <v>0.44928999999999997</v>
      </c>
      <c r="I77" s="56">
        <f t="shared" si="13"/>
        <v>0.34371999999999997</v>
      </c>
      <c r="J77" s="56">
        <f t="shared" si="13"/>
        <v>48.045999999999992</v>
      </c>
      <c r="K77" s="56">
        <f t="shared" si="13"/>
        <v>0.41</v>
      </c>
      <c r="L77" s="56">
        <f t="shared" si="13"/>
        <v>1.3796500000000003</v>
      </c>
      <c r="M77" s="56">
        <f t="shared" si="13"/>
        <v>195.21090000000001</v>
      </c>
      <c r="N77" s="56">
        <f t="shared" si="13"/>
        <v>290.84009999999995</v>
      </c>
      <c r="O77" s="56">
        <f t="shared" si="13"/>
        <v>104.5395</v>
      </c>
      <c r="P77" s="56">
        <f t="shared" si="13"/>
        <v>4.6201399999999992</v>
      </c>
      <c r="Q77" s="56">
        <f t="shared" si="13"/>
        <v>1.8660000000000001</v>
      </c>
      <c r="R77" s="56">
        <f t="shared" si="13"/>
        <v>0.12100000000000001</v>
      </c>
      <c r="S77" s="135"/>
    </row>
    <row r="78" spans="1:38" s="46" customFormat="1" ht="15.75" customHeight="1" x14ac:dyDescent="0.25">
      <c r="A78" s="161"/>
      <c r="B78" s="165" t="s">
        <v>186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98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4"/>
    </row>
    <row r="79" spans="1:38" s="46" customFormat="1" ht="15.75" customHeight="1" x14ac:dyDescent="0.25">
      <c r="A79" s="161"/>
      <c r="B79" s="222" t="s">
        <v>187</v>
      </c>
      <c r="C79" s="54">
        <v>60</v>
      </c>
      <c r="D79" s="65">
        <v>0.42</v>
      </c>
      <c r="E79" s="65">
        <v>0.06</v>
      </c>
      <c r="F79" s="65">
        <v>1.1399999999999999</v>
      </c>
      <c r="G79" s="65">
        <v>6.78</v>
      </c>
      <c r="H79" s="65">
        <v>0.02</v>
      </c>
      <c r="I79" s="65">
        <v>0.01</v>
      </c>
      <c r="J79" s="65">
        <v>2.94</v>
      </c>
      <c r="K79" s="65">
        <v>0</v>
      </c>
      <c r="L79" s="65">
        <v>0</v>
      </c>
      <c r="M79" s="65">
        <v>10.199999999999999</v>
      </c>
      <c r="N79" s="65">
        <v>18</v>
      </c>
      <c r="O79" s="65">
        <v>8.4</v>
      </c>
      <c r="P79" s="223">
        <v>0.3</v>
      </c>
      <c r="Q79" s="65">
        <v>0.12</v>
      </c>
      <c r="R79" s="65">
        <v>0</v>
      </c>
      <c r="S79" s="98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4"/>
    </row>
    <row r="80" spans="1:38" s="46" customFormat="1" ht="15.75" customHeight="1" x14ac:dyDescent="0.25">
      <c r="A80" s="168">
        <v>151</v>
      </c>
      <c r="B80" s="194" t="s">
        <v>199</v>
      </c>
      <c r="C80" s="176">
        <v>250</v>
      </c>
      <c r="D80" s="46">
        <v>2.02</v>
      </c>
      <c r="E80" s="46">
        <v>5.09</v>
      </c>
      <c r="F80" s="46">
        <v>11.98</v>
      </c>
      <c r="G80" s="46">
        <f>D80*4+E80*9+F80*4</f>
        <v>101.81</v>
      </c>
      <c r="H80" s="46">
        <v>0.09</v>
      </c>
      <c r="I80" s="46">
        <v>0.06</v>
      </c>
      <c r="J80" s="46">
        <v>8.3800000000000008</v>
      </c>
      <c r="K80" s="46">
        <v>0</v>
      </c>
      <c r="L80" s="46">
        <v>0.5</v>
      </c>
      <c r="M80" s="46">
        <v>29.15</v>
      </c>
      <c r="N80" s="46">
        <v>56.73</v>
      </c>
      <c r="O80" s="46">
        <v>24.18</v>
      </c>
      <c r="P80" s="98">
        <v>0.93</v>
      </c>
      <c r="Q80" s="46">
        <v>0.47</v>
      </c>
      <c r="R80" s="173">
        <v>0.05</v>
      </c>
      <c r="S80" s="98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4"/>
    </row>
    <row r="81" spans="1:38" s="46" customFormat="1" ht="15.75" customHeight="1" x14ac:dyDescent="0.25">
      <c r="A81" s="177">
        <v>494</v>
      </c>
      <c r="B81" s="168" t="s">
        <v>168</v>
      </c>
      <c r="C81" s="168">
        <v>90</v>
      </c>
      <c r="D81" s="178">
        <v>19.3</v>
      </c>
      <c r="E81" s="178">
        <v>16</v>
      </c>
      <c r="F81" s="178">
        <v>0.06</v>
      </c>
      <c r="G81" s="46">
        <f t="shared" ref="G81:G86" si="14">D81*4+E81*9+F81*4</f>
        <v>221.44</v>
      </c>
      <c r="H81" s="178">
        <v>0.06</v>
      </c>
      <c r="I81" s="178">
        <v>0.13</v>
      </c>
      <c r="J81" s="178">
        <v>2.08</v>
      </c>
      <c r="K81" s="178">
        <v>0.9</v>
      </c>
      <c r="L81" s="46">
        <v>0.3</v>
      </c>
      <c r="M81" s="178">
        <v>43.65</v>
      </c>
      <c r="N81" s="178">
        <v>149.58000000000001</v>
      </c>
      <c r="O81" s="178">
        <v>19.25</v>
      </c>
      <c r="P81" s="178">
        <v>1.71</v>
      </c>
      <c r="Q81" s="178">
        <v>0</v>
      </c>
      <c r="R81" s="173">
        <v>0</v>
      </c>
      <c r="S81" s="98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4"/>
    </row>
    <row r="82" spans="1:38" s="46" customFormat="1" ht="15.75" customHeight="1" x14ac:dyDescent="0.25">
      <c r="A82" s="192">
        <v>540</v>
      </c>
      <c r="B82" s="192" t="s">
        <v>71</v>
      </c>
      <c r="C82" s="193">
        <v>150</v>
      </c>
      <c r="D82" s="171">
        <v>2.19</v>
      </c>
      <c r="E82" s="171">
        <v>13.61</v>
      </c>
      <c r="F82" s="171">
        <v>10.65</v>
      </c>
      <c r="G82" s="46">
        <f t="shared" si="14"/>
        <v>173.85</v>
      </c>
      <c r="H82" s="171">
        <v>7.0000000000000007E-2</v>
      </c>
      <c r="I82" s="171">
        <v>7.0000000000000007E-2</v>
      </c>
      <c r="J82" s="171">
        <v>15.49</v>
      </c>
      <c r="K82" s="171">
        <v>0.56999999999999995</v>
      </c>
      <c r="L82" s="46">
        <v>0</v>
      </c>
      <c r="M82" s="171">
        <v>46</v>
      </c>
      <c r="N82" s="171">
        <v>55.71</v>
      </c>
      <c r="O82" s="171">
        <v>20.13</v>
      </c>
      <c r="P82" s="174">
        <v>0.74</v>
      </c>
      <c r="Q82" s="171">
        <v>0.35</v>
      </c>
      <c r="R82" s="173">
        <v>0.02</v>
      </c>
      <c r="S82" s="98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4"/>
    </row>
    <row r="83" spans="1:38" s="46" customFormat="1" ht="15.75" customHeight="1" x14ac:dyDescent="0.25">
      <c r="A83" s="168"/>
      <c r="B83" s="168" t="s">
        <v>169</v>
      </c>
      <c r="C83" s="168">
        <v>200</v>
      </c>
      <c r="D83" s="171">
        <v>0.12</v>
      </c>
      <c r="E83" s="171">
        <v>0.1</v>
      </c>
      <c r="F83" s="171">
        <v>27.5</v>
      </c>
      <c r="G83" s="46">
        <f t="shared" si="14"/>
        <v>111.38</v>
      </c>
      <c r="H83" s="171">
        <v>0.01</v>
      </c>
      <c r="I83" s="171" t="s">
        <v>170</v>
      </c>
      <c r="J83" s="171">
        <v>2.0699999999999998</v>
      </c>
      <c r="K83" s="171">
        <v>0</v>
      </c>
      <c r="L83" s="171">
        <v>0</v>
      </c>
      <c r="M83" s="171">
        <v>16.2</v>
      </c>
      <c r="N83" s="171">
        <v>7.2</v>
      </c>
      <c r="O83" s="171">
        <v>7.51</v>
      </c>
      <c r="P83" s="174">
        <v>0.89</v>
      </c>
      <c r="Q83" s="171">
        <v>7.0000000000000007E-2</v>
      </c>
      <c r="R83" s="173">
        <v>0.01</v>
      </c>
      <c r="S83" s="98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4"/>
    </row>
    <row r="84" spans="1:38" s="46" customFormat="1" ht="15.75" customHeight="1" x14ac:dyDescent="0.25">
      <c r="A84" s="192"/>
      <c r="B84" s="168" t="s">
        <v>160</v>
      </c>
      <c r="C84" s="193">
        <v>40</v>
      </c>
      <c r="D84" s="195">
        <v>2.7</v>
      </c>
      <c r="E84" s="195">
        <v>0.34</v>
      </c>
      <c r="F84" s="195">
        <v>20.059999999999999</v>
      </c>
      <c r="G84" s="46">
        <f t="shared" si="14"/>
        <v>94.1</v>
      </c>
      <c r="H84" s="195">
        <v>0.04</v>
      </c>
      <c r="I84" s="195">
        <v>0.01</v>
      </c>
      <c r="J84" s="195">
        <v>0</v>
      </c>
      <c r="K84" s="195">
        <v>0</v>
      </c>
      <c r="L84" s="195">
        <v>0.44</v>
      </c>
      <c r="M84" s="195">
        <v>8</v>
      </c>
      <c r="N84" s="195">
        <v>26</v>
      </c>
      <c r="O84" s="195">
        <v>5.6</v>
      </c>
      <c r="P84" s="195">
        <v>0.44</v>
      </c>
      <c r="Q84" s="195">
        <v>0</v>
      </c>
      <c r="R84" s="173">
        <v>0</v>
      </c>
      <c r="S84" s="98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4"/>
    </row>
    <row r="85" spans="1:38" s="46" customFormat="1" ht="15.75" customHeight="1" x14ac:dyDescent="0.25">
      <c r="A85" s="168"/>
      <c r="B85" s="168" t="s">
        <v>124</v>
      </c>
      <c r="C85" s="169">
        <v>20</v>
      </c>
      <c r="D85" s="171">
        <v>1.33</v>
      </c>
      <c r="E85" s="171">
        <v>0.24</v>
      </c>
      <c r="F85" s="171">
        <v>8.3699999999999992</v>
      </c>
      <c r="G85" s="46">
        <f t="shared" si="14"/>
        <v>40.959999999999994</v>
      </c>
      <c r="H85" s="171">
        <v>0.11</v>
      </c>
      <c r="I85" s="171">
        <v>7.0000000000000007E-2</v>
      </c>
      <c r="J85" s="171">
        <v>0.14000000000000001</v>
      </c>
      <c r="K85" s="171">
        <v>0</v>
      </c>
      <c r="L85" s="171">
        <v>0.11</v>
      </c>
      <c r="M85" s="171">
        <v>25.55</v>
      </c>
      <c r="N85" s="171">
        <v>43.75</v>
      </c>
      <c r="O85" s="171">
        <v>14</v>
      </c>
      <c r="P85" s="174">
        <v>0.98</v>
      </c>
      <c r="Q85" s="171">
        <v>0</v>
      </c>
      <c r="R85" s="173">
        <v>0.2</v>
      </c>
      <c r="S85" s="98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4"/>
    </row>
    <row r="86" spans="1:38" s="46" customFormat="1" ht="15.75" customHeight="1" x14ac:dyDescent="0.25">
      <c r="A86" s="168"/>
      <c r="B86" s="168" t="s">
        <v>200</v>
      </c>
      <c r="C86" s="169">
        <v>30</v>
      </c>
      <c r="D86" s="170">
        <v>2.1800000000000002</v>
      </c>
      <c r="E86" s="170">
        <v>11.34</v>
      </c>
      <c r="F86" s="170">
        <v>22.96</v>
      </c>
      <c r="G86" s="46">
        <f t="shared" si="14"/>
        <v>202.62</v>
      </c>
      <c r="H86" s="170">
        <v>0.04</v>
      </c>
      <c r="I86" s="170">
        <v>0.06</v>
      </c>
      <c r="J86" s="170">
        <v>0</v>
      </c>
      <c r="K86" s="170">
        <v>0.28000000000000003</v>
      </c>
      <c r="L86" s="170">
        <v>3.47</v>
      </c>
      <c r="M86" s="170">
        <v>10.14</v>
      </c>
      <c r="N86" s="170">
        <v>37.590000000000003</v>
      </c>
      <c r="O86" s="170">
        <v>7.69</v>
      </c>
      <c r="P86" s="172">
        <v>0.64</v>
      </c>
      <c r="Q86" s="170">
        <v>0</v>
      </c>
      <c r="R86" s="173">
        <v>0</v>
      </c>
      <c r="S86" s="98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4"/>
    </row>
    <row r="87" spans="1:38" s="46" customFormat="1" ht="15.75" customHeight="1" x14ac:dyDescent="0.25">
      <c r="A87" s="187"/>
      <c r="B87" s="213" t="s">
        <v>21</v>
      </c>
      <c r="C87" s="188">
        <v>840</v>
      </c>
      <c r="D87" s="188">
        <v>30.26</v>
      </c>
      <c r="E87" s="188">
        <v>46.78</v>
      </c>
      <c r="F87" s="188">
        <v>102.76</v>
      </c>
      <c r="G87" s="188">
        <v>952.94</v>
      </c>
      <c r="H87" s="188">
        <v>0.44</v>
      </c>
      <c r="I87" s="188">
        <v>0.42</v>
      </c>
      <c r="J87" s="188">
        <v>31.1</v>
      </c>
      <c r="K87" s="188">
        <v>1.75</v>
      </c>
      <c r="L87" s="188">
        <v>4.82</v>
      </c>
      <c r="M87" s="188">
        <v>188.89</v>
      </c>
      <c r="N87" s="188">
        <v>394.56</v>
      </c>
      <c r="O87" s="188">
        <v>106.76</v>
      </c>
      <c r="P87" s="188">
        <v>13.26</v>
      </c>
      <c r="Q87" s="188">
        <v>1.01</v>
      </c>
      <c r="R87" s="188">
        <v>0.28000000000000003</v>
      </c>
      <c r="S87" s="98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4"/>
    </row>
    <row r="88" spans="1:38" s="46" customFormat="1" ht="15.75" customHeight="1" x14ac:dyDescent="0.25">
      <c r="A88" s="161"/>
      <c r="B88" s="189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98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4"/>
    </row>
    <row r="89" spans="1:38" ht="15.75" customHeight="1" x14ac:dyDescent="0.25">
      <c r="A89" s="235" t="s">
        <v>109</v>
      </c>
      <c r="B89" s="236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35"/>
    </row>
    <row r="90" spans="1:38" s="46" customFormat="1" ht="15.75" customHeight="1" x14ac:dyDescent="0.25">
      <c r="A90" s="165"/>
      <c r="B90" s="221" t="s">
        <v>195</v>
      </c>
      <c r="C90" s="5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98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4"/>
    </row>
    <row r="91" spans="1:38" s="52" customFormat="1" ht="15.75" customHeight="1" x14ac:dyDescent="0.25">
      <c r="A91" s="90">
        <v>3</v>
      </c>
      <c r="B91" s="60" t="s">
        <v>156</v>
      </c>
      <c r="C91" s="60">
        <v>40</v>
      </c>
      <c r="D91" s="52">
        <v>6.23</v>
      </c>
      <c r="E91" s="52">
        <v>8.41</v>
      </c>
      <c r="F91" s="52">
        <v>19.75</v>
      </c>
      <c r="G91" s="52">
        <v>179.61</v>
      </c>
      <c r="H91" s="52">
        <v>0.05</v>
      </c>
      <c r="I91" s="52">
        <v>0.47</v>
      </c>
      <c r="J91" s="52">
        <v>0.11</v>
      </c>
      <c r="K91" s="52">
        <v>0.62</v>
      </c>
      <c r="L91" s="52">
        <v>0.22</v>
      </c>
      <c r="M91" s="52">
        <v>137.19999999999999</v>
      </c>
      <c r="N91" s="52">
        <v>79</v>
      </c>
      <c r="O91" s="52">
        <v>10.9</v>
      </c>
      <c r="P91" s="52">
        <v>0.6</v>
      </c>
      <c r="Q91" s="52">
        <v>1.32</v>
      </c>
      <c r="R91" s="52">
        <v>0</v>
      </c>
      <c r="S91" s="13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0"/>
    </row>
    <row r="92" spans="1:38" s="52" customFormat="1" ht="15.75" customHeight="1" x14ac:dyDescent="0.25">
      <c r="A92" s="90">
        <v>337</v>
      </c>
      <c r="B92" s="60" t="s">
        <v>202</v>
      </c>
      <c r="C92" s="60">
        <v>40</v>
      </c>
      <c r="D92" s="52">
        <v>4.5</v>
      </c>
      <c r="E92" s="52">
        <v>4.8</v>
      </c>
      <c r="F92" s="52">
        <v>0.2</v>
      </c>
      <c r="G92" s="52">
        <v>63.5</v>
      </c>
      <c r="H92" s="52">
        <v>0.02</v>
      </c>
      <c r="I92" s="52">
        <v>0.03</v>
      </c>
      <c r="J92" s="52">
        <v>7.0000000000000007E-2</v>
      </c>
      <c r="K92" s="52">
        <v>0.1</v>
      </c>
      <c r="L92" s="52">
        <v>0.09</v>
      </c>
      <c r="M92" s="52">
        <v>22</v>
      </c>
      <c r="N92" s="52">
        <v>76.8</v>
      </c>
      <c r="O92" s="52">
        <v>4.8</v>
      </c>
      <c r="P92" s="52">
        <v>1</v>
      </c>
      <c r="Q92" s="52">
        <v>0.6</v>
      </c>
      <c r="R92" s="52">
        <v>0</v>
      </c>
      <c r="S92" s="13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0"/>
    </row>
    <row r="93" spans="1:38" s="53" customFormat="1" ht="15.75" customHeight="1" x14ac:dyDescent="0.25">
      <c r="A93" s="85">
        <v>311</v>
      </c>
      <c r="B93" s="51" t="s">
        <v>201</v>
      </c>
      <c r="C93" s="54">
        <v>200</v>
      </c>
      <c r="D93" s="52">
        <v>6.8505000000000003</v>
      </c>
      <c r="E93" s="52">
        <v>6.5880000000000001</v>
      </c>
      <c r="F93" s="52">
        <v>29.329000000000001</v>
      </c>
      <c r="G93" s="52">
        <f t="shared" ref="G93" si="15">F93*4+E93*9+D93*4</f>
        <v>204.01</v>
      </c>
      <c r="H93" s="52">
        <v>9.4500000000000001E-3</v>
      </c>
      <c r="I93" s="52">
        <v>2.1000000000000001E-2</v>
      </c>
      <c r="J93" s="52">
        <v>0.189</v>
      </c>
      <c r="K93" s="52">
        <v>0.03</v>
      </c>
      <c r="L93" s="52">
        <v>0</v>
      </c>
      <c r="M93" s="52">
        <v>21.630000000000003</v>
      </c>
      <c r="N93" s="52">
        <v>22.8795</v>
      </c>
      <c r="O93" s="52">
        <v>5.0925000000000002</v>
      </c>
      <c r="P93" s="52">
        <v>7.350000000000001E-2</v>
      </c>
      <c r="Q93" s="52">
        <v>1.1000000000000001</v>
      </c>
      <c r="R93" s="52">
        <v>0</v>
      </c>
      <c r="S93" s="13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39"/>
    </row>
    <row r="94" spans="1:38" s="52" customFormat="1" ht="15.75" customHeight="1" x14ac:dyDescent="0.25">
      <c r="A94" s="85"/>
      <c r="B94" s="51" t="s">
        <v>203</v>
      </c>
      <c r="C94" s="51">
        <v>200</v>
      </c>
      <c r="D94" s="52">
        <v>0.6</v>
      </c>
      <c r="E94" s="52">
        <v>0.4</v>
      </c>
      <c r="F94" s="52">
        <v>10.4</v>
      </c>
      <c r="G94" s="52">
        <f t="shared" ref="G94:G97" si="16">F94*4+E94*9+D94*4</f>
        <v>47.6</v>
      </c>
      <c r="H94" s="52">
        <v>0.02</v>
      </c>
      <c r="I94" s="52">
        <v>0.04</v>
      </c>
      <c r="J94" s="52">
        <v>3.4</v>
      </c>
      <c r="K94" s="52">
        <v>0</v>
      </c>
      <c r="L94" s="52">
        <v>0.4</v>
      </c>
      <c r="M94" s="52">
        <v>21.2</v>
      </c>
      <c r="N94" s="52">
        <v>22.6</v>
      </c>
      <c r="O94" s="52">
        <v>14.6</v>
      </c>
      <c r="P94" s="52">
        <v>3.2</v>
      </c>
      <c r="Q94" s="52">
        <v>0.12</v>
      </c>
      <c r="R94" s="52">
        <v>0</v>
      </c>
      <c r="S94" s="13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0"/>
    </row>
    <row r="95" spans="1:38" s="52" customFormat="1" ht="15.75" customHeight="1" x14ac:dyDescent="0.25">
      <c r="A95" s="91"/>
      <c r="B95" s="51" t="s">
        <v>4</v>
      </c>
      <c r="C95" s="51">
        <v>40</v>
      </c>
      <c r="D95" s="52">
        <f>1.35*2</f>
        <v>2.7</v>
      </c>
      <c r="E95" s="52">
        <f>0.172*2</f>
        <v>0.34399999999999997</v>
      </c>
      <c r="F95" s="52">
        <f>10.03*2</f>
        <v>20.059999999999999</v>
      </c>
      <c r="G95" s="52">
        <f t="shared" si="16"/>
        <v>94.135999999999996</v>
      </c>
      <c r="H95" s="52">
        <v>2.4E-2</v>
      </c>
      <c r="I95" s="52">
        <v>5.0000000000000001E-3</v>
      </c>
      <c r="J95" s="52">
        <v>0</v>
      </c>
      <c r="K95" s="52">
        <v>0</v>
      </c>
      <c r="L95" s="52">
        <v>0.42</v>
      </c>
      <c r="M95" s="52">
        <v>8</v>
      </c>
      <c r="N95" s="52">
        <v>26</v>
      </c>
      <c r="O95" s="52">
        <v>5.6</v>
      </c>
      <c r="P95" s="52">
        <v>0.4</v>
      </c>
      <c r="Q95" s="52">
        <v>0.3</v>
      </c>
      <c r="R95" s="52">
        <v>0</v>
      </c>
      <c r="S95" s="13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0"/>
    </row>
    <row r="96" spans="1:38" s="52" customFormat="1" ht="15.75" customHeight="1" x14ac:dyDescent="0.25">
      <c r="A96" s="92"/>
      <c r="B96" s="51" t="s">
        <v>124</v>
      </c>
      <c r="C96" s="51">
        <v>25</v>
      </c>
      <c r="D96" s="52">
        <v>1.6625000000000001</v>
      </c>
      <c r="E96" s="52">
        <v>0.3</v>
      </c>
      <c r="F96" s="52">
        <v>10.462499999999999</v>
      </c>
      <c r="G96" s="52">
        <f t="shared" si="16"/>
        <v>51.199999999999996</v>
      </c>
      <c r="H96" s="52">
        <v>0.13124999999999998</v>
      </c>
      <c r="I96" s="52">
        <v>8.7499999999999981E-2</v>
      </c>
      <c r="J96" s="52">
        <v>0.17499999999999996</v>
      </c>
      <c r="K96" s="52">
        <v>0</v>
      </c>
      <c r="L96" s="52">
        <v>0.13124999999999998</v>
      </c>
      <c r="M96" s="52">
        <v>31.937499999999996</v>
      </c>
      <c r="N96" s="52">
        <v>54.6875</v>
      </c>
      <c r="O96" s="52">
        <v>17.5</v>
      </c>
      <c r="P96" s="52">
        <v>1.2249999999999999</v>
      </c>
      <c r="Q96" s="52">
        <v>0.3</v>
      </c>
      <c r="R96" s="52">
        <v>0.02</v>
      </c>
      <c r="S96" s="13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0"/>
    </row>
    <row r="97" spans="1:38" s="52" customFormat="1" ht="15.75" customHeight="1" x14ac:dyDescent="0.25">
      <c r="A97" s="85">
        <v>368</v>
      </c>
      <c r="B97" s="51" t="s">
        <v>194</v>
      </c>
      <c r="C97" s="51">
        <v>100</v>
      </c>
      <c r="D97" s="55">
        <v>0.5</v>
      </c>
      <c r="E97" s="55">
        <v>0.5</v>
      </c>
      <c r="F97" s="55">
        <v>12.8</v>
      </c>
      <c r="G97" s="52">
        <f t="shared" si="16"/>
        <v>57.7</v>
      </c>
      <c r="H97" s="55">
        <v>0.04</v>
      </c>
      <c r="I97" s="55">
        <v>0.01</v>
      </c>
      <c r="J97" s="55">
        <v>5</v>
      </c>
      <c r="K97" s="55">
        <v>0</v>
      </c>
      <c r="L97" s="55">
        <v>0.33</v>
      </c>
      <c r="M97" s="55">
        <v>25</v>
      </c>
      <c r="N97" s="55">
        <v>18.3</v>
      </c>
      <c r="O97" s="55">
        <v>14.16</v>
      </c>
      <c r="P97" s="55">
        <v>0.5</v>
      </c>
      <c r="Q97" s="52">
        <v>0.48</v>
      </c>
      <c r="R97" s="52">
        <v>1.0000000000000001E-5</v>
      </c>
      <c r="S97" s="13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0"/>
    </row>
    <row r="98" spans="1:38" ht="15.75" customHeight="1" x14ac:dyDescent="0.25">
      <c r="A98" s="88"/>
      <c r="B98" s="214" t="s">
        <v>21</v>
      </c>
      <c r="C98" s="56">
        <f t="shared" ref="C98:R98" si="17">SUM(C91:C97)</f>
        <v>645</v>
      </c>
      <c r="D98" s="56">
        <f t="shared" si="17"/>
        <v>23.043000000000003</v>
      </c>
      <c r="E98" s="56">
        <f t="shared" si="17"/>
        <v>21.342000000000002</v>
      </c>
      <c r="F98" s="56">
        <f t="shared" si="17"/>
        <v>103.00149999999998</v>
      </c>
      <c r="G98" s="56">
        <f t="shared" si="17"/>
        <v>697.75600000000009</v>
      </c>
      <c r="H98" s="56">
        <f t="shared" si="17"/>
        <v>0.29469999999999996</v>
      </c>
      <c r="I98" s="56">
        <f t="shared" si="17"/>
        <v>0.66350000000000009</v>
      </c>
      <c r="J98" s="56">
        <f t="shared" si="17"/>
        <v>8.9439999999999991</v>
      </c>
      <c r="K98" s="56">
        <f t="shared" si="17"/>
        <v>0.75</v>
      </c>
      <c r="L98" s="56">
        <f t="shared" si="17"/>
        <v>1.5912500000000001</v>
      </c>
      <c r="M98" s="56">
        <f t="shared" si="17"/>
        <v>266.96749999999997</v>
      </c>
      <c r="N98" s="56">
        <f t="shared" si="17"/>
        <v>300.267</v>
      </c>
      <c r="O98" s="56">
        <f t="shared" si="17"/>
        <v>72.652500000000003</v>
      </c>
      <c r="P98" s="56">
        <f t="shared" si="17"/>
        <v>6.9984999999999999</v>
      </c>
      <c r="Q98" s="56">
        <f t="shared" si="17"/>
        <v>4.22</v>
      </c>
      <c r="R98" s="56">
        <f t="shared" si="17"/>
        <v>2.001E-2</v>
      </c>
      <c r="S98" s="135"/>
    </row>
    <row r="99" spans="1:38" s="46" customFormat="1" ht="15.75" customHeight="1" x14ac:dyDescent="0.25">
      <c r="A99" s="161"/>
      <c r="B99" s="165" t="s">
        <v>186</v>
      </c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98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4"/>
    </row>
    <row r="100" spans="1:38" s="46" customFormat="1" ht="15.75" customHeight="1" x14ac:dyDescent="0.25">
      <c r="A100" s="161"/>
      <c r="B100" s="224" t="s">
        <v>187</v>
      </c>
      <c r="C100" s="65">
        <v>60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223"/>
      <c r="Q100" s="65"/>
      <c r="R100" s="65"/>
      <c r="S100" s="98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4"/>
    </row>
    <row r="101" spans="1:38" s="46" customFormat="1" ht="15.75" customHeight="1" x14ac:dyDescent="0.25">
      <c r="A101" s="192">
        <v>116</v>
      </c>
      <c r="B101" s="192" t="s">
        <v>171</v>
      </c>
      <c r="C101" s="193">
        <v>250</v>
      </c>
      <c r="D101" s="178">
        <v>3.56</v>
      </c>
      <c r="E101" s="178">
        <v>5.12</v>
      </c>
      <c r="F101" s="178">
        <v>14.17</v>
      </c>
      <c r="G101" s="55">
        <f t="shared" ref="G101:G106" si="18">D101*4+E101*9+F101*4</f>
        <v>117</v>
      </c>
      <c r="H101" s="178">
        <v>0.1</v>
      </c>
      <c r="I101" s="178">
        <v>0.06</v>
      </c>
      <c r="J101" s="178">
        <v>6.7</v>
      </c>
      <c r="K101" s="178">
        <v>0</v>
      </c>
      <c r="L101" s="178">
        <v>0.5</v>
      </c>
      <c r="M101" s="178">
        <v>54.18</v>
      </c>
      <c r="N101" s="178">
        <v>99.5</v>
      </c>
      <c r="O101" s="178">
        <v>34.450000000000003</v>
      </c>
      <c r="P101" s="200">
        <v>1.73</v>
      </c>
      <c r="Q101" s="178">
        <v>0.32500000000000001</v>
      </c>
      <c r="R101" s="173">
        <v>0.02</v>
      </c>
      <c r="S101" s="98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4"/>
    </row>
    <row r="102" spans="1:38" s="46" customFormat="1" ht="15.75" customHeight="1" x14ac:dyDescent="0.25">
      <c r="A102" s="201">
        <v>374</v>
      </c>
      <c r="B102" s="194" t="s">
        <v>172</v>
      </c>
      <c r="C102" s="176">
        <v>200</v>
      </c>
      <c r="D102" s="171">
        <v>19.5</v>
      </c>
      <c r="E102" s="171">
        <v>9.9</v>
      </c>
      <c r="F102" s="171">
        <v>7.6</v>
      </c>
      <c r="G102" s="55">
        <f t="shared" si="18"/>
        <v>197.50000000000003</v>
      </c>
      <c r="H102" s="171">
        <v>0.1</v>
      </c>
      <c r="I102" s="171">
        <v>0.1</v>
      </c>
      <c r="J102" s="171">
        <v>7.46</v>
      </c>
      <c r="K102" s="171">
        <v>0.11</v>
      </c>
      <c r="L102" s="178">
        <v>0.9</v>
      </c>
      <c r="M102" s="171">
        <v>78.14</v>
      </c>
      <c r="N102" s="171">
        <v>324.38</v>
      </c>
      <c r="O102" s="171">
        <v>97.06</v>
      </c>
      <c r="P102" s="174">
        <v>1.7</v>
      </c>
      <c r="Q102" s="171">
        <v>1.04</v>
      </c>
      <c r="R102" s="173">
        <v>0.48</v>
      </c>
      <c r="S102" s="98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4"/>
    </row>
    <row r="103" spans="1:38" s="46" customFormat="1" ht="15.75" customHeight="1" x14ac:dyDescent="0.25">
      <c r="A103" s="192"/>
      <c r="B103" s="168" t="s">
        <v>160</v>
      </c>
      <c r="C103" s="193">
        <v>40</v>
      </c>
      <c r="D103" s="195">
        <v>2.7</v>
      </c>
      <c r="E103" s="195">
        <v>0.34</v>
      </c>
      <c r="F103" s="195">
        <v>20.059999999999999</v>
      </c>
      <c r="G103" s="55">
        <f t="shared" si="18"/>
        <v>94.1</v>
      </c>
      <c r="H103" s="195">
        <v>0.04</v>
      </c>
      <c r="I103" s="195">
        <v>0.01</v>
      </c>
      <c r="J103" s="195">
        <v>0</v>
      </c>
      <c r="K103" s="195">
        <v>0</v>
      </c>
      <c r="L103" s="195">
        <v>0.44</v>
      </c>
      <c r="M103" s="195">
        <v>8</v>
      </c>
      <c r="N103" s="195">
        <v>26</v>
      </c>
      <c r="O103" s="195">
        <v>5.6</v>
      </c>
      <c r="P103" s="195">
        <v>0.44</v>
      </c>
      <c r="Q103" s="195">
        <v>0</v>
      </c>
      <c r="R103" s="173">
        <v>0</v>
      </c>
      <c r="S103" s="98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4"/>
    </row>
    <row r="104" spans="1:38" s="46" customFormat="1" ht="15.75" customHeight="1" x14ac:dyDescent="0.25">
      <c r="A104" s="168"/>
      <c r="B104" s="168" t="s">
        <v>124</v>
      </c>
      <c r="C104" s="169">
        <v>40</v>
      </c>
      <c r="D104" s="171">
        <v>2.66</v>
      </c>
      <c r="E104" s="171">
        <v>0.48</v>
      </c>
      <c r="F104" s="171">
        <v>16.739999999999998</v>
      </c>
      <c r="G104" s="55">
        <f t="shared" si="18"/>
        <v>81.919999999999987</v>
      </c>
      <c r="H104" s="171">
        <v>0.22</v>
      </c>
      <c r="I104" s="171">
        <v>0.14000000000000001</v>
      </c>
      <c r="J104" s="171">
        <v>0.28000000000000003</v>
      </c>
      <c r="K104" s="171">
        <v>0</v>
      </c>
      <c r="L104" s="171">
        <v>0.22</v>
      </c>
      <c r="M104" s="171">
        <v>51.1</v>
      </c>
      <c r="N104" s="171">
        <v>87.5</v>
      </c>
      <c r="O104" s="171">
        <v>28</v>
      </c>
      <c r="P104" s="174">
        <v>1.96</v>
      </c>
      <c r="Q104" s="171">
        <v>0</v>
      </c>
      <c r="R104" s="173">
        <v>0.04</v>
      </c>
      <c r="S104" s="98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4"/>
    </row>
    <row r="105" spans="1:38" s="46" customFormat="1" ht="15.75" customHeight="1" x14ac:dyDescent="0.25">
      <c r="A105" s="168"/>
      <c r="B105" s="194" t="s">
        <v>204</v>
      </c>
      <c r="C105" s="194">
        <v>80</v>
      </c>
      <c r="D105" s="171">
        <v>4.9000000000000004</v>
      </c>
      <c r="E105" s="171">
        <v>6.57</v>
      </c>
      <c r="F105" s="171">
        <v>54.25</v>
      </c>
      <c r="G105" s="55">
        <f t="shared" si="18"/>
        <v>295.73</v>
      </c>
      <c r="H105" s="171">
        <v>0.08</v>
      </c>
      <c r="I105" s="171">
        <v>5.6000000000000001E-2</v>
      </c>
      <c r="J105" s="171">
        <v>6.4000000000000001E-2</v>
      </c>
      <c r="K105" s="171">
        <v>0.13</v>
      </c>
      <c r="L105" s="171">
        <v>1.2</v>
      </c>
      <c r="M105" s="171">
        <v>15.6</v>
      </c>
      <c r="N105" s="171">
        <v>49.12</v>
      </c>
      <c r="O105" s="171">
        <v>19.28</v>
      </c>
      <c r="P105" s="174">
        <v>1.1120000000000001</v>
      </c>
      <c r="Q105" s="171">
        <v>0.2</v>
      </c>
      <c r="R105" s="173">
        <v>0</v>
      </c>
      <c r="S105" s="98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4"/>
    </row>
    <row r="106" spans="1:38" s="46" customFormat="1" ht="15.75" customHeight="1" x14ac:dyDescent="0.25">
      <c r="A106" s="168"/>
      <c r="B106" s="48" t="s">
        <v>189</v>
      </c>
      <c r="C106" s="180">
        <v>180</v>
      </c>
      <c r="D106" s="181">
        <v>0.75</v>
      </c>
      <c r="E106" s="181">
        <v>0</v>
      </c>
      <c r="F106" s="181">
        <v>15.15</v>
      </c>
      <c r="G106" s="55">
        <f t="shared" si="18"/>
        <v>63.6</v>
      </c>
      <c r="H106" s="55">
        <v>1.4999999999999999E-2</v>
      </c>
      <c r="I106" s="55">
        <v>1.4999999999999999E-2</v>
      </c>
      <c r="J106" s="55">
        <v>3</v>
      </c>
      <c r="K106" s="55">
        <v>0</v>
      </c>
      <c r="L106" s="55">
        <v>0.15</v>
      </c>
      <c r="M106" s="55">
        <v>10.5</v>
      </c>
      <c r="N106" s="55">
        <v>10.5</v>
      </c>
      <c r="O106" s="55">
        <v>6</v>
      </c>
      <c r="P106" s="55">
        <v>2.1</v>
      </c>
      <c r="Q106" s="55">
        <v>0</v>
      </c>
      <c r="R106" s="173">
        <v>0</v>
      </c>
      <c r="S106" s="98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4"/>
    </row>
    <row r="107" spans="1:38" s="46" customFormat="1" ht="15.75" customHeight="1" x14ac:dyDescent="0.25">
      <c r="A107" s="187"/>
      <c r="B107" s="213" t="s">
        <v>21</v>
      </c>
      <c r="C107" s="188">
        <v>850</v>
      </c>
      <c r="D107" s="184">
        <f t="shared" ref="D107:R107" si="19">SUM(D101:D106)</f>
        <v>34.07</v>
      </c>
      <c r="E107" s="184">
        <f t="shared" si="19"/>
        <v>22.41</v>
      </c>
      <c r="F107" s="184">
        <f t="shared" si="19"/>
        <v>127.97</v>
      </c>
      <c r="G107" s="184">
        <f t="shared" si="19"/>
        <v>849.85</v>
      </c>
      <c r="H107" s="184">
        <f t="shared" si="19"/>
        <v>0.55500000000000005</v>
      </c>
      <c r="I107" s="184">
        <f t="shared" si="19"/>
        <v>0.38100000000000006</v>
      </c>
      <c r="J107" s="184">
        <f t="shared" si="19"/>
        <v>17.503999999999998</v>
      </c>
      <c r="K107" s="184">
        <f t="shared" si="19"/>
        <v>0.24</v>
      </c>
      <c r="L107" s="184">
        <f t="shared" si="19"/>
        <v>3.4099999999999997</v>
      </c>
      <c r="M107" s="184">
        <f t="shared" si="19"/>
        <v>217.51999999999998</v>
      </c>
      <c r="N107" s="184">
        <f t="shared" si="19"/>
        <v>597</v>
      </c>
      <c r="O107" s="184">
        <f t="shared" si="19"/>
        <v>190.39</v>
      </c>
      <c r="P107" s="184">
        <f t="shared" si="19"/>
        <v>9.0419999999999998</v>
      </c>
      <c r="Q107" s="184">
        <f t="shared" si="19"/>
        <v>1.5649999999999999</v>
      </c>
      <c r="R107" s="184">
        <f t="shared" si="19"/>
        <v>0.54</v>
      </c>
      <c r="S107" s="98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4"/>
    </row>
    <row r="108" spans="1:38" s="46" customFormat="1" ht="15.75" customHeight="1" x14ac:dyDescent="0.25">
      <c r="A108" s="161"/>
      <c r="B108" s="189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98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4"/>
    </row>
    <row r="109" spans="1:38" s="53" customFormat="1" ht="15.75" customHeight="1" x14ac:dyDescent="0.25">
      <c r="A109" s="235" t="s">
        <v>110</v>
      </c>
      <c r="B109" s="236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13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39"/>
    </row>
    <row r="110" spans="1:38" s="46" customFormat="1" ht="15.75" customHeight="1" x14ac:dyDescent="0.25">
      <c r="A110" s="211"/>
      <c r="B110" s="165" t="s">
        <v>195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98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4"/>
    </row>
    <row r="111" spans="1:38" ht="15.75" customHeight="1" x14ac:dyDescent="0.25">
      <c r="A111" s="85"/>
      <c r="B111" s="51" t="s">
        <v>191</v>
      </c>
      <c r="C111" s="51">
        <v>60</v>
      </c>
      <c r="D111" s="55">
        <v>0.42</v>
      </c>
      <c r="E111" s="55">
        <v>0.06</v>
      </c>
      <c r="F111" s="55">
        <v>1.1399999999999999</v>
      </c>
      <c r="G111" s="55">
        <f>F111*4+E111*9+D111*4</f>
        <v>6.7799999999999994</v>
      </c>
      <c r="H111" s="55">
        <v>0.02</v>
      </c>
      <c r="I111" s="55">
        <v>0.01</v>
      </c>
      <c r="J111" s="55">
        <v>2.94</v>
      </c>
      <c r="K111" s="55">
        <v>0</v>
      </c>
      <c r="L111" s="55">
        <v>0.06</v>
      </c>
      <c r="M111" s="55">
        <v>10.199999999999999</v>
      </c>
      <c r="N111" s="55">
        <v>18</v>
      </c>
      <c r="O111" s="55">
        <v>8.4</v>
      </c>
      <c r="P111" s="55">
        <v>0.3</v>
      </c>
      <c r="Q111" s="52">
        <v>0.10199999999999999</v>
      </c>
      <c r="R111" s="52">
        <v>0</v>
      </c>
      <c r="S111" s="135"/>
    </row>
    <row r="112" spans="1:38" ht="15.75" customHeight="1" x14ac:dyDescent="0.25">
      <c r="A112" s="85">
        <v>452</v>
      </c>
      <c r="B112" s="51" t="s">
        <v>88</v>
      </c>
      <c r="C112" s="51">
        <v>90</v>
      </c>
      <c r="D112" s="46">
        <v>7.1495327102803738</v>
      </c>
      <c r="E112" s="46">
        <v>9.3925233644859816</v>
      </c>
      <c r="F112" s="46">
        <v>7.2336448598130838</v>
      </c>
      <c r="G112" s="46">
        <v>142.06542056074767</v>
      </c>
      <c r="H112" s="46">
        <v>8.4112149532710276E-2</v>
      </c>
      <c r="I112" s="46">
        <v>8.4112149532710276E-2</v>
      </c>
      <c r="J112" s="46">
        <v>0.12616822429906543</v>
      </c>
      <c r="K112" s="46">
        <v>0.1</v>
      </c>
      <c r="L112" s="46">
        <v>0.42056074766355139</v>
      </c>
      <c r="M112" s="46">
        <v>20.579439252336446</v>
      </c>
      <c r="N112" s="46">
        <v>87.588785046728972</v>
      </c>
      <c r="O112" s="46">
        <v>16.355140186915886</v>
      </c>
      <c r="P112" s="46">
        <v>1.1869158878504673</v>
      </c>
      <c r="Q112" s="46">
        <v>2.3199999999999998</v>
      </c>
      <c r="R112" s="46">
        <v>0</v>
      </c>
      <c r="S112" s="98"/>
    </row>
    <row r="113" spans="1:38" s="52" customFormat="1" ht="15.75" customHeight="1" x14ac:dyDescent="0.25">
      <c r="A113" s="90">
        <v>540</v>
      </c>
      <c r="B113" s="60" t="s">
        <v>71</v>
      </c>
      <c r="C113" s="60">
        <v>160</v>
      </c>
      <c r="D113" s="52">
        <v>2.69</v>
      </c>
      <c r="E113" s="52">
        <v>5</v>
      </c>
      <c r="F113" s="52">
        <v>13.1</v>
      </c>
      <c r="G113" s="52">
        <v>216.3</v>
      </c>
      <c r="H113" s="52">
        <v>0.08</v>
      </c>
      <c r="I113" s="52">
        <v>0.08</v>
      </c>
      <c r="J113" s="52">
        <v>19.059999999999999</v>
      </c>
      <c r="K113" s="52">
        <v>0.7</v>
      </c>
      <c r="L113" s="52">
        <v>0</v>
      </c>
      <c r="M113" s="52">
        <v>56.6</v>
      </c>
      <c r="N113" s="52">
        <v>68.56</v>
      </c>
      <c r="O113" s="52">
        <v>24.7</v>
      </c>
      <c r="P113" s="52">
        <v>0.91</v>
      </c>
      <c r="Q113" s="52">
        <v>0.43</v>
      </c>
      <c r="R113" s="52">
        <v>0</v>
      </c>
      <c r="S113" s="13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0"/>
    </row>
    <row r="114" spans="1:38" s="52" customFormat="1" ht="15.75" customHeight="1" x14ac:dyDescent="0.25">
      <c r="A114" s="85">
        <v>685</v>
      </c>
      <c r="B114" s="51" t="s">
        <v>90</v>
      </c>
      <c r="C114" s="51">
        <v>200</v>
      </c>
      <c r="D114" s="55">
        <v>6.3000000000000014E-2</v>
      </c>
      <c r="E114" s="55">
        <v>1.8000000000000002E-2</v>
      </c>
      <c r="F114" s="55">
        <f>10.4</f>
        <v>10.4</v>
      </c>
      <c r="G114" s="55">
        <v>35.5</v>
      </c>
      <c r="H114" s="55">
        <v>0</v>
      </c>
      <c r="I114" s="55">
        <v>0</v>
      </c>
      <c r="J114" s="55">
        <v>2.7E-2</v>
      </c>
      <c r="K114" s="55">
        <v>0</v>
      </c>
      <c r="L114" s="55">
        <v>0</v>
      </c>
      <c r="M114" s="55">
        <v>11.1</v>
      </c>
      <c r="N114" s="55">
        <v>2.8</v>
      </c>
      <c r="O114" s="55">
        <v>1.4</v>
      </c>
      <c r="P114" s="55">
        <f>12.1-0.045</f>
        <v>12.055</v>
      </c>
      <c r="Q114" s="55">
        <v>0.02</v>
      </c>
      <c r="R114" s="52">
        <v>0</v>
      </c>
      <c r="S114" s="13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0"/>
    </row>
    <row r="115" spans="1:38" s="52" customFormat="1" ht="15.75" customHeight="1" x14ac:dyDescent="0.25">
      <c r="A115" s="85"/>
      <c r="B115" s="51" t="s">
        <v>124</v>
      </c>
      <c r="C115" s="51">
        <v>25</v>
      </c>
      <c r="D115" s="52">
        <v>1.6625000000000001</v>
      </c>
      <c r="E115" s="52">
        <v>0.3</v>
      </c>
      <c r="F115" s="52">
        <v>10.462499999999999</v>
      </c>
      <c r="G115" s="52">
        <v>51.2</v>
      </c>
      <c r="H115" s="52">
        <v>0.13124999999999998</v>
      </c>
      <c r="I115" s="52">
        <v>8.7499999999999981E-2</v>
      </c>
      <c r="J115" s="52">
        <v>0.17499999999999996</v>
      </c>
      <c r="K115" s="52">
        <v>0</v>
      </c>
      <c r="L115" s="52">
        <v>0.13124999999999998</v>
      </c>
      <c r="M115" s="52">
        <v>31.937499999999996</v>
      </c>
      <c r="N115" s="52">
        <v>54.6875</v>
      </c>
      <c r="O115" s="52">
        <v>17.5</v>
      </c>
      <c r="P115" s="52">
        <v>1.2249999999999999</v>
      </c>
      <c r="Q115" s="52">
        <v>0.3</v>
      </c>
      <c r="R115" s="52">
        <v>0.02</v>
      </c>
      <c r="S115" s="13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0"/>
    </row>
    <row r="116" spans="1:38" s="52" customFormat="1" ht="15.75" customHeight="1" x14ac:dyDescent="0.25">
      <c r="A116" s="91"/>
      <c r="B116" s="51" t="s">
        <v>4</v>
      </c>
      <c r="C116" s="51">
        <v>40</v>
      </c>
      <c r="D116" s="52">
        <f>1.35*2</f>
        <v>2.7</v>
      </c>
      <c r="E116" s="52">
        <f>0.172*2</f>
        <v>0.34399999999999997</v>
      </c>
      <c r="F116" s="52">
        <f>10.03*2</f>
        <v>20.059999999999999</v>
      </c>
      <c r="G116" s="52">
        <f t="shared" ref="G116" si="20">F116*4+E116*9+D116*4</f>
        <v>94.135999999999996</v>
      </c>
      <c r="H116" s="52">
        <v>2.4E-2</v>
      </c>
      <c r="I116" s="52">
        <v>5.0000000000000001E-3</v>
      </c>
      <c r="J116" s="52">
        <v>0</v>
      </c>
      <c r="K116" s="52">
        <v>0</v>
      </c>
      <c r="L116" s="52">
        <v>0.42</v>
      </c>
      <c r="M116" s="52">
        <v>8</v>
      </c>
      <c r="N116" s="52">
        <v>26</v>
      </c>
      <c r="O116" s="52">
        <v>5.6</v>
      </c>
      <c r="P116" s="52">
        <v>0.4</v>
      </c>
      <c r="Q116" s="52">
        <v>0.3</v>
      </c>
      <c r="R116" s="52">
        <v>0</v>
      </c>
      <c r="S116" s="13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0"/>
    </row>
    <row r="117" spans="1:38" s="52" customFormat="1" ht="15.75" customHeight="1" x14ac:dyDescent="0.25">
      <c r="A117" s="85"/>
      <c r="B117" s="51" t="s">
        <v>189</v>
      </c>
      <c r="C117" s="51">
        <v>200</v>
      </c>
      <c r="D117" s="52">
        <v>1.0015060240963856</v>
      </c>
      <c r="E117" s="52">
        <v>0</v>
      </c>
      <c r="F117" s="52">
        <v>20.23042168674699</v>
      </c>
      <c r="G117" s="52">
        <v>84.927710843373504</v>
      </c>
      <c r="H117" s="52">
        <v>2.0030120481927715E-2</v>
      </c>
      <c r="I117" s="52">
        <v>2.0030120481927715E-2</v>
      </c>
      <c r="J117" s="52">
        <v>4.0060240963855422</v>
      </c>
      <c r="K117" s="52">
        <v>0</v>
      </c>
      <c r="L117" s="52">
        <v>0.20030120481927713</v>
      </c>
      <c r="M117" s="52">
        <v>14.021084337349398</v>
      </c>
      <c r="N117" s="52">
        <v>14.021084337349398</v>
      </c>
      <c r="O117" s="52">
        <v>8.0120481927710845</v>
      </c>
      <c r="P117" s="52">
        <v>2.8042168674698797</v>
      </c>
      <c r="Q117" s="52">
        <v>0.04</v>
      </c>
      <c r="R117" s="52">
        <v>0</v>
      </c>
      <c r="S117" s="13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0"/>
    </row>
    <row r="118" spans="1:38" s="52" customFormat="1" ht="15.75" customHeight="1" x14ac:dyDescent="0.25">
      <c r="A118" s="85"/>
      <c r="B118" s="52" t="s">
        <v>193</v>
      </c>
      <c r="C118" s="52">
        <v>100</v>
      </c>
      <c r="D118" s="52">
        <v>1.08</v>
      </c>
      <c r="E118" s="52">
        <v>0.12</v>
      </c>
      <c r="F118" s="52">
        <v>10.08</v>
      </c>
      <c r="G118" s="52">
        <v>48.6</v>
      </c>
      <c r="H118" s="52">
        <v>0.03</v>
      </c>
      <c r="I118" s="52">
        <v>0.06</v>
      </c>
      <c r="J118" s="52">
        <v>12</v>
      </c>
      <c r="K118" s="52">
        <v>0</v>
      </c>
      <c r="L118" s="52">
        <v>1.32</v>
      </c>
      <c r="M118" s="52">
        <v>33.6</v>
      </c>
      <c r="N118" s="52">
        <v>31.2</v>
      </c>
      <c r="O118" s="52">
        <v>9.6</v>
      </c>
      <c r="P118" s="52">
        <v>0.84</v>
      </c>
      <c r="Q118" s="52">
        <v>0.09</v>
      </c>
      <c r="R118" s="52">
        <v>0</v>
      </c>
      <c r="S118" s="13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0"/>
    </row>
    <row r="119" spans="1:38" ht="15.75" customHeight="1" x14ac:dyDescent="0.25">
      <c r="A119" s="88"/>
      <c r="B119" s="214" t="s">
        <v>21</v>
      </c>
      <c r="C119" s="56">
        <f t="shared" ref="C119:R119" si="21">SUM(C111:C118)</f>
        <v>875</v>
      </c>
      <c r="D119" s="56">
        <f t="shared" si="21"/>
        <v>16.766538734376759</v>
      </c>
      <c r="E119" s="56">
        <f t="shared" si="21"/>
        <v>15.234523364485982</v>
      </c>
      <c r="F119" s="56">
        <f t="shared" si="21"/>
        <v>92.706566546560069</v>
      </c>
      <c r="G119" s="56">
        <f t="shared" si="21"/>
        <v>679.50913140412115</v>
      </c>
      <c r="H119" s="56">
        <f t="shared" si="21"/>
        <v>0.38939227001463794</v>
      </c>
      <c r="I119" s="56">
        <f t="shared" si="21"/>
        <v>0.34664227001463793</v>
      </c>
      <c r="J119" s="56">
        <f t="shared" si="21"/>
        <v>38.334192320684608</v>
      </c>
      <c r="K119" s="56">
        <f t="shared" si="21"/>
        <v>0.79999999999999993</v>
      </c>
      <c r="L119" s="56">
        <f t="shared" si="21"/>
        <v>2.5521119524828286</v>
      </c>
      <c r="M119" s="56">
        <f t="shared" si="21"/>
        <v>186.03802358968585</v>
      </c>
      <c r="N119" s="56">
        <f t="shared" si="21"/>
        <v>302.85736938407837</v>
      </c>
      <c r="O119" s="56">
        <f t="shared" si="21"/>
        <v>91.567188379686968</v>
      </c>
      <c r="P119" s="56">
        <f t="shared" si="21"/>
        <v>19.721132755320344</v>
      </c>
      <c r="Q119" s="56">
        <f t="shared" si="21"/>
        <v>3.6019999999999994</v>
      </c>
      <c r="R119" s="56">
        <f t="shared" si="21"/>
        <v>0.02</v>
      </c>
      <c r="S119" s="135"/>
    </row>
    <row r="120" spans="1:38" s="46" customFormat="1" ht="15.75" customHeight="1" x14ac:dyDescent="0.25">
      <c r="A120" s="161"/>
      <c r="B120" s="165" t="s">
        <v>186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98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4"/>
    </row>
    <row r="121" spans="1:38" s="46" customFormat="1" ht="15.75" customHeight="1" x14ac:dyDescent="0.25">
      <c r="A121" s="161"/>
      <c r="B121" s="189" t="s">
        <v>205</v>
      </c>
      <c r="C121" s="65">
        <v>60</v>
      </c>
      <c r="D121" s="65">
        <v>0.42</v>
      </c>
      <c r="E121" s="65">
        <v>0.06</v>
      </c>
      <c r="F121" s="65">
        <v>1.1399999999999999</v>
      </c>
      <c r="G121" s="65">
        <v>6.78</v>
      </c>
      <c r="H121" s="65">
        <v>0.02</v>
      </c>
      <c r="I121" s="65">
        <v>0.01</v>
      </c>
      <c r="J121" s="65">
        <v>2.94</v>
      </c>
      <c r="K121" s="65">
        <v>0</v>
      </c>
      <c r="L121" s="65">
        <v>0.06</v>
      </c>
      <c r="M121" s="65">
        <v>10.199999999999999</v>
      </c>
      <c r="N121" s="65">
        <v>18</v>
      </c>
      <c r="O121" s="65">
        <v>8.4</v>
      </c>
      <c r="P121" s="65">
        <v>0.3</v>
      </c>
      <c r="Q121" s="65">
        <v>0.1</v>
      </c>
      <c r="R121" s="65">
        <v>0</v>
      </c>
      <c r="S121" s="98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4"/>
    </row>
    <row r="122" spans="1:38" s="46" customFormat="1" ht="15.75" customHeight="1" x14ac:dyDescent="0.25">
      <c r="A122" s="202">
        <v>151</v>
      </c>
      <c r="B122" s="191" t="s">
        <v>206</v>
      </c>
      <c r="C122" s="203">
        <v>250</v>
      </c>
      <c r="D122" s="171">
        <v>1.59</v>
      </c>
      <c r="E122" s="171">
        <v>4.99</v>
      </c>
      <c r="F122" s="171">
        <v>9.15</v>
      </c>
      <c r="G122" s="171">
        <f>D122*4+E122*9+F122*4</f>
        <v>87.87</v>
      </c>
      <c r="H122" s="171">
        <v>7.0000000000000007E-2</v>
      </c>
      <c r="I122" s="171">
        <v>0.05</v>
      </c>
      <c r="J122" s="171">
        <v>10.38</v>
      </c>
      <c r="K122" s="171">
        <v>0</v>
      </c>
      <c r="L122" s="171">
        <v>0.3</v>
      </c>
      <c r="M122" s="171">
        <v>34.85</v>
      </c>
      <c r="N122" s="171">
        <v>49.28</v>
      </c>
      <c r="O122" s="171">
        <v>20.75</v>
      </c>
      <c r="P122" s="174">
        <v>0.78</v>
      </c>
      <c r="Q122" s="171">
        <v>0.57999999999999996</v>
      </c>
      <c r="R122" s="173">
        <v>0.01</v>
      </c>
      <c r="S122" s="98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4"/>
    </row>
    <row r="123" spans="1:38" s="46" customFormat="1" ht="15.75" customHeight="1" x14ac:dyDescent="0.25">
      <c r="A123" s="204">
        <v>342</v>
      </c>
      <c r="B123" s="192" t="s">
        <v>173</v>
      </c>
      <c r="C123" s="192">
        <v>160</v>
      </c>
      <c r="D123" s="46">
        <v>19.12</v>
      </c>
      <c r="E123" s="46">
        <v>25.38</v>
      </c>
      <c r="F123" s="46">
        <v>2.72</v>
      </c>
      <c r="G123" s="171">
        <f t="shared" ref="G123:G127" si="22">D123*4+E123*9+F123*4</f>
        <v>315.77999999999997</v>
      </c>
      <c r="H123" s="46">
        <v>0.106</v>
      </c>
      <c r="I123" s="46">
        <v>0.57999999999999996</v>
      </c>
      <c r="J123" s="46">
        <v>0.34</v>
      </c>
      <c r="K123" s="46">
        <v>3.8719999999999999</v>
      </c>
      <c r="L123" s="171">
        <f>1.2*1.4</f>
        <v>1.68</v>
      </c>
      <c r="M123" s="46">
        <v>278.93</v>
      </c>
      <c r="N123" s="46">
        <v>333.06</v>
      </c>
      <c r="O123" s="46">
        <v>23.28</v>
      </c>
      <c r="P123" s="98">
        <v>2.93</v>
      </c>
      <c r="Q123" s="46">
        <v>2.59</v>
      </c>
      <c r="R123" s="173">
        <v>0.36</v>
      </c>
      <c r="S123" s="98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4"/>
    </row>
    <row r="124" spans="1:38" s="46" customFormat="1" ht="15.75" customHeight="1" x14ac:dyDescent="0.25">
      <c r="A124" s="192"/>
      <c r="B124" s="192" t="s">
        <v>189</v>
      </c>
      <c r="C124" s="193">
        <v>200</v>
      </c>
      <c r="D124" s="181">
        <v>1</v>
      </c>
      <c r="E124" s="181">
        <v>0</v>
      </c>
      <c r="F124" s="181">
        <v>20.200000000000003</v>
      </c>
      <c r="G124" s="171">
        <f t="shared" si="22"/>
        <v>84.800000000000011</v>
      </c>
      <c r="H124" s="55">
        <v>2.2000000000000002E-2</v>
      </c>
      <c r="I124" s="55">
        <v>2.2000000000000002E-2</v>
      </c>
      <c r="J124" s="55">
        <v>4</v>
      </c>
      <c r="K124" s="55">
        <v>0</v>
      </c>
      <c r="L124" s="55">
        <v>0.2</v>
      </c>
      <c r="M124" s="55">
        <v>14</v>
      </c>
      <c r="N124" s="55">
        <v>14</v>
      </c>
      <c r="O124" s="55">
        <v>8</v>
      </c>
      <c r="P124" s="55">
        <v>2.8000000000000003</v>
      </c>
      <c r="Q124" s="55">
        <v>0</v>
      </c>
      <c r="R124" s="173">
        <v>0</v>
      </c>
      <c r="S124" s="98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4"/>
    </row>
    <row r="125" spans="1:38" s="46" customFormat="1" ht="15.75" customHeight="1" x14ac:dyDescent="0.25">
      <c r="A125" s="205"/>
      <c r="B125" s="168" t="s">
        <v>160</v>
      </c>
      <c r="C125" s="169">
        <v>40</v>
      </c>
      <c r="D125" s="195">
        <v>2.7</v>
      </c>
      <c r="E125" s="195">
        <v>0.34</v>
      </c>
      <c r="F125" s="195">
        <v>20.059999999999999</v>
      </c>
      <c r="G125" s="171">
        <f t="shared" si="22"/>
        <v>94.1</v>
      </c>
      <c r="H125" s="195">
        <v>0.04</v>
      </c>
      <c r="I125" s="195">
        <v>0.01</v>
      </c>
      <c r="J125" s="195">
        <v>0</v>
      </c>
      <c r="K125" s="195">
        <v>0</v>
      </c>
      <c r="L125" s="195">
        <v>0.44</v>
      </c>
      <c r="M125" s="195">
        <v>8</v>
      </c>
      <c r="N125" s="195">
        <v>26</v>
      </c>
      <c r="O125" s="195">
        <v>5.6</v>
      </c>
      <c r="P125" s="195">
        <v>0.44</v>
      </c>
      <c r="Q125" s="195">
        <v>0</v>
      </c>
      <c r="R125" s="173">
        <v>0</v>
      </c>
      <c r="S125" s="98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4"/>
    </row>
    <row r="126" spans="1:38" s="46" customFormat="1" ht="15.75" customHeight="1" x14ac:dyDescent="0.25">
      <c r="A126" s="168"/>
      <c r="B126" s="168" t="s">
        <v>124</v>
      </c>
      <c r="C126" s="169">
        <v>20</v>
      </c>
      <c r="D126" s="171">
        <v>1.33</v>
      </c>
      <c r="E126" s="171">
        <v>0.24</v>
      </c>
      <c r="F126" s="171">
        <v>8.3699999999999992</v>
      </c>
      <c r="G126" s="171">
        <f t="shared" si="22"/>
        <v>40.959999999999994</v>
      </c>
      <c r="H126" s="171">
        <v>0.11</v>
      </c>
      <c r="I126" s="171">
        <v>7.0000000000000007E-2</v>
      </c>
      <c r="J126" s="171">
        <v>0.14000000000000001</v>
      </c>
      <c r="K126" s="171">
        <v>0</v>
      </c>
      <c r="L126" s="171">
        <v>0.11</v>
      </c>
      <c r="M126" s="171">
        <v>25.55</v>
      </c>
      <c r="N126" s="171">
        <v>43.75</v>
      </c>
      <c r="O126" s="171">
        <v>14</v>
      </c>
      <c r="P126" s="174">
        <v>0.98</v>
      </c>
      <c r="Q126" s="171">
        <v>0</v>
      </c>
      <c r="R126" s="173">
        <v>0.02</v>
      </c>
      <c r="S126" s="98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4"/>
    </row>
    <row r="127" spans="1:38" s="46" customFormat="1" ht="15.75" customHeight="1" x14ac:dyDescent="0.25">
      <c r="A127" s="168"/>
      <c r="B127" s="168" t="s">
        <v>174</v>
      </c>
      <c r="C127" s="169">
        <v>180</v>
      </c>
      <c r="D127" s="170">
        <v>4.37</v>
      </c>
      <c r="E127" s="170">
        <f>2.7*1.8</f>
        <v>4.8600000000000003</v>
      </c>
      <c r="F127" s="170">
        <v>7.1749999999999998</v>
      </c>
      <c r="G127" s="170">
        <f t="shared" si="22"/>
        <v>89.92</v>
      </c>
      <c r="H127" s="170">
        <v>3.5000000000000003E-2</v>
      </c>
      <c r="I127" s="170">
        <v>0.245</v>
      </c>
      <c r="J127" s="170">
        <v>0.52</v>
      </c>
      <c r="K127" s="170">
        <v>0.35</v>
      </c>
      <c r="L127" s="170">
        <v>0</v>
      </c>
      <c r="M127" s="170">
        <v>217</v>
      </c>
      <c r="N127" s="170">
        <v>57.96</v>
      </c>
      <c r="O127" s="170">
        <v>24.5</v>
      </c>
      <c r="P127" s="170">
        <v>0.17499999999999999</v>
      </c>
      <c r="Q127" s="170">
        <v>0.7</v>
      </c>
      <c r="R127" s="173">
        <v>0</v>
      </c>
      <c r="S127" s="98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4"/>
    </row>
    <row r="128" spans="1:38" s="46" customFormat="1" ht="15.75" customHeight="1" x14ac:dyDescent="0.25">
      <c r="A128" s="187"/>
      <c r="B128" s="213" t="s">
        <v>21</v>
      </c>
      <c r="C128" s="188">
        <v>910</v>
      </c>
      <c r="D128" s="188">
        <v>30.53</v>
      </c>
      <c r="E128" s="188">
        <v>35.869999999999997</v>
      </c>
      <c r="F128" s="188">
        <v>68.819999999999993</v>
      </c>
      <c r="G128" s="188">
        <v>797.43</v>
      </c>
      <c r="H128" s="188">
        <v>0.41</v>
      </c>
      <c r="I128" s="188">
        <v>0.99</v>
      </c>
      <c r="J128" s="188">
        <v>18.32</v>
      </c>
      <c r="K128" s="188">
        <v>4.22</v>
      </c>
      <c r="L128" s="188">
        <f t="shared" ref="L128" si="23">SUM(L122:L127)</f>
        <v>2.73</v>
      </c>
      <c r="M128" s="188">
        <v>588.53</v>
      </c>
      <c r="N128" s="188">
        <v>542.04999999999995</v>
      </c>
      <c r="O128" s="188">
        <v>104.53</v>
      </c>
      <c r="P128" s="188">
        <v>8.41</v>
      </c>
      <c r="Q128" s="188">
        <v>3.97</v>
      </c>
      <c r="R128" s="188">
        <v>0.39</v>
      </c>
      <c r="S128" s="98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4"/>
    </row>
    <row r="129" spans="1:38" s="46" customFormat="1" ht="15.75" customHeight="1" x14ac:dyDescent="0.25">
      <c r="A129" s="161"/>
      <c r="B129" s="189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98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4"/>
    </row>
    <row r="130" spans="1:38" s="53" customFormat="1" ht="15.75" customHeight="1" x14ac:dyDescent="0.25">
      <c r="A130" s="235" t="s">
        <v>111</v>
      </c>
      <c r="B130" s="236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13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39"/>
    </row>
    <row r="131" spans="1:38" s="46" customFormat="1" ht="15.75" customHeight="1" x14ac:dyDescent="0.25">
      <c r="A131" s="211"/>
      <c r="B131" s="165" t="s">
        <v>195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98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4"/>
    </row>
    <row r="132" spans="1:38" ht="15.75" customHeight="1" x14ac:dyDescent="0.25">
      <c r="A132" s="85"/>
      <c r="B132" s="51" t="s">
        <v>191</v>
      </c>
      <c r="C132" s="51">
        <v>60</v>
      </c>
      <c r="D132" s="52">
        <v>0.48719999999999997</v>
      </c>
      <c r="E132" s="52">
        <v>6.9599999999999995E-2</v>
      </c>
      <c r="F132" s="52">
        <v>1.3223999999999998</v>
      </c>
      <c r="G132" s="52">
        <f>F132*4+E132*9+D132*4</f>
        <v>7.8647999999999989</v>
      </c>
      <c r="H132" s="52">
        <v>2.3199999999999998E-2</v>
      </c>
      <c r="I132" s="52">
        <v>1.1599999999999999E-2</v>
      </c>
      <c r="J132" s="52">
        <v>3.4103999999999997</v>
      </c>
      <c r="K132" s="52">
        <v>0</v>
      </c>
      <c r="L132" s="52">
        <v>6.9599999999999995E-2</v>
      </c>
      <c r="M132" s="52">
        <v>11.831999999999999</v>
      </c>
      <c r="N132" s="52">
        <v>20.88</v>
      </c>
      <c r="O132" s="52">
        <v>9.7439999999999998</v>
      </c>
      <c r="P132" s="52">
        <v>0.34799999999999998</v>
      </c>
      <c r="Q132" s="52">
        <v>0.11899999999999999</v>
      </c>
      <c r="R132" s="52">
        <v>0</v>
      </c>
      <c r="S132" s="135"/>
    </row>
    <row r="133" spans="1:38" ht="15.75" customHeight="1" x14ac:dyDescent="0.25">
      <c r="A133" s="85">
        <v>391</v>
      </c>
      <c r="B133" s="51" t="s">
        <v>85</v>
      </c>
      <c r="C133" s="51">
        <v>90</v>
      </c>
      <c r="D133" s="55">
        <v>7.66</v>
      </c>
      <c r="E133" s="55">
        <v>5.3</v>
      </c>
      <c r="F133" s="55">
        <v>5.8</v>
      </c>
      <c r="G133" s="52">
        <f t="shared" ref="G133:G138" si="24">F133*4+E133*9+D133*4</f>
        <v>101.53999999999999</v>
      </c>
      <c r="H133" s="55">
        <f>0.036*0.875</f>
        <v>3.15E-2</v>
      </c>
      <c r="I133" s="55">
        <f>0.054*0.875</f>
        <v>4.725E-2</v>
      </c>
      <c r="J133" s="55">
        <v>2.2599999999999998</v>
      </c>
      <c r="K133" s="55">
        <v>0.17</v>
      </c>
      <c r="L133" s="55">
        <v>3.11</v>
      </c>
      <c r="M133" s="55">
        <v>43.8</v>
      </c>
      <c r="N133" s="55">
        <v>115.9</v>
      </c>
      <c r="O133" s="55">
        <v>17.149999999999999</v>
      </c>
      <c r="P133" s="55">
        <v>1.48</v>
      </c>
      <c r="Q133" s="52">
        <v>0.59</v>
      </c>
      <c r="R133" s="52"/>
      <c r="S133" s="135"/>
    </row>
    <row r="134" spans="1:38" s="52" customFormat="1" ht="15.75" customHeight="1" x14ac:dyDescent="0.25">
      <c r="A134" s="85">
        <v>310</v>
      </c>
      <c r="B134" s="51" t="s">
        <v>84</v>
      </c>
      <c r="C134" s="51">
        <v>170</v>
      </c>
      <c r="D134" s="52">
        <v>3.3205</v>
      </c>
      <c r="E134" s="52">
        <v>4.8815999999999997</v>
      </c>
      <c r="F134" s="52">
        <v>26.001300000000001</v>
      </c>
      <c r="G134" s="52">
        <f t="shared" si="24"/>
        <v>161.2216</v>
      </c>
      <c r="H134" s="52">
        <v>0.16949999999999998</v>
      </c>
      <c r="I134" s="52">
        <v>0.10169999999999998</v>
      </c>
      <c r="J134" s="52">
        <v>23.729999999999997</v>
      </c>
      <c r="K134" s="52">
        <v>0</v>
      </c>
      <c r="L134" s="52">
        <v>0.22599999999999998</v>
      </c>
      <c r="M134" s="52">
        <v>62.036999999999992</v>
      </c>
      <c r="N134" s="52">
        <v>90.060999999999993</v>
      </c>
      <c r="O134" s="52">
        <v>33.108999999999995</v>
      </c>
      <c r="P134" s="52">
        <v>1.2994999999999999</v>
      </c>
      <c r="Q134" s="52">
        <v>0.66</v>
      </c>
      <c r="R134" s="52">
        <v>0</v>
      </c>
      <c r="S134" s="13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0"/>
    </row>
    <row r="135" spans="1:38" s="52" customFormat="1" ht="15.75" customHeight="1" x14ac:dyDescent="0.25">
      <c r="A135" s="85">
        <v>694</v>
      </c>
      <c r="B135" s="51" t="s">
        <v>6</v>
      </c>
      <c r="C135" s="51">
        <v>200</v>
      </c>
      <c r="D135" s="52">
        <v>1.04</v>
      </c>
      <c r="E135" s="52">
        <v>0.6</v>
      </c>
      <c r="F135" s="52">
        <v>10.199999999999999</v>
      </c>
      <c r="G135" s="52">
        <f t="shared" si="24"/>
        <v>50.36</v>
      </c>
      <c r="H135" s="52">
        <v>0.2</v>
      </c>
      <c r="I135" s="52">
        <v>0.4</v>
      </c>
      <c r="J135" s="52">
        <v>8</v>
      </c>
      <c r="K135" s="52">
        <v>1E-3</v>
      </c>
      <c r="L135" s="52">
        <v>11</v>
      </c>
      <c r="M135" s="52">
        <v>32</v>
      </c>
      <c r="N135" s="52">
        <v>29</v>
      </c>
      <c r="O135" s="52">
        <v>21</v>
      </c>
      <c r="P135" s="52">
        <v>6.4</v>
      </c>
      <c r="Q135" s="52">
        <v>0.78</v>
      </c>
      <c r="R135" s="52">
        <v>0.01</v>
      </c>
      <c r="S135" s="13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0"/>
    </row>
    <row r="136" spans="1:38" s="52" customFormat="1" ht="15.75" customHeight="1" x14ac:dyDescent="0.25">
      <c r="A136" s="91"/>
      <c r="B136" s="51" t="s">
        <v>4</v>
      </c>
      <c r="C136" s="51">
        <v>40</v>
      </c>
      <c r="D136" s="52">
        <f>1.35*2</f>
        <v>2.7</v>
      </c>
      <c r="E136" s="52">
        <f>0.172*2</f>
        <v>0.34399999999999997</v>
      </c>
      <c r="F136" s="52">
        <f>10.03*2</f>
        <v>20.059999999999999</v>
      </c>
      <c r="G136" s="52">
        <f t="shared" si="24"/>
        <v>94.135999999999996</v>
      </c>
      <c r="H136" s="52">
        <v>2.4E-2</v>
      </c>
      <c r="I136" s="52">
        <v>5.0000000000000001E-3</v>
      </c>
      <c r="J136" s="52">
        <v>0</v>
      </c>
      <c r="K136" s="52">
        <v>0</v>
      </c>
      <c r="L136" s="52">
        <v>0.42</v>
      </c>
      <c r="M136" s="52">
        <v>8</v>
      </c>
      <c r="N136" s="52">
        <v>26</v>
      </c>
      <c r="O136" s="52">
        <v>5.6</v>
      </c>
      <c r="P136" s="52">
        <v>0.4</v>
      </c>
      <c r="Q136" s="52">
        <v>0.3</v>
      </c>
      <c r="R136" s="52">
        <v>0</v>
      </c>
      <c r="S136" s="13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0"/>
    </row>
    <row r="137" spans="1:38" s="52" customFormat="1" ht="15.75" customHeight="1" x14ac:dyDescent="0.25">
      <c r="A137" s="85"/>
      <c r="B137" s="51" t="s">
        <v>124</v>
      </c>
      <c r="C137" s="51">
        <v>25</v>
      </c>
      <c r="D137" s="52">
        <v>1.6625000000000001</v>
      </c>
      <c r="E137" s="52">
        <v>0.3</v>
      </c>
      <c r="F137" s="52">
        <v>10.462499999999999</v>
      </c>
      <c r="G137" s="52">
        <f t="shared" si="24"/>
        <v>51.199999999999996</v>
      </c>
      <c r="H137" s="52">
        <v>0.13124999999999998</v>
      </c>
      <c r="I137" s="52">
        <v>8.7499999999999981E-2</v>
      </c>
      <c r="J137" s="52">
        <v>0.17499999999999996</v>
      </c>
      <c r="K137" s="52">
        <v>0</v>
      </c>
      <c r="L137" s="52">
        <v>0.13124999999999998</v>
      </c>
      <c r="M137" s="52">
        <v>31.937499999999996</v>
      </c>
      <c r="N137" s="52">
        <v>54.6875</v>
      </c>
      <c r="O137" s="52">
        <v>17.5</v>
      </c>
      <c r="P137" s="52">
        <v>1.2249999999999999</v>
      </c>
      <c r="Q137" s="52">
        <v>0.3</v>
      </c>
      <c r="R137" s="52">
        <v>0.02</v>
      </c>
      <c r="S137" s="13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0"/>
    </row>
    <row r="138" spans="1:38" s="52" customFormat="1" ht="15.75" customHeight="1" x14ac:dyDescent="0.25">
      <c r="A138" s="93"/>
      <c r="B138" s="52" t="s">
        <v>193</v>
      </c>
      <c r="C138" s="52">
        <v>100</v>
      </c>
      <c r="D138" s="52">
        <v>1.08</v>
      </c>
      <c r="E138" s="52">
        <v>0.12</v>
      </c>
      <c r="F138" s="52">
        <v>10.8</v>
      </c>
      <c r="G138" s="52">
        <f t="shared" si="24"/>
        <v>48.6</v>
      </c>
      <c r="H138" s="52">
        <v>0.03</v>
      </c>
      <c r="I138" s="52">
        <v>0.06</v>
      </c>
      <c r="J138" s="52">
        <v>12</v>
      </c>
      <c r="K138" s="52">
        <v>0</v>
      </c>
      <c r="L138" s="52">
        <v>1.32</v>
      </c>
      <c r="M138" s="52">
        <v>33.6</v>
      </c>
      <c r="N138" s="52">
        <v>31.2</v>
      </c>
      <c r="O138" s="52">
        <v>9.6</v>
      </c>
      <c r="P138" s="52">
        <v>0.84</v>
      </c>
      <c r="Q138" s="52">
        <v>0.09</v>
      </c>
      <c r="R138" s="52">
        <v>0</v>
      </c>
      <c r="S138" s="13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0"/>
    </row>
    <row r="139" spans="1:38" s="53" customFormat="1" ht="15.75" customHeight="1" x14ac:dyDescent="0.25">
      <c r="A139" s="88"/>
      <c r="B139" s="214" t="s">
        <v>21</v>
      </c>
      <c r="C139" s="56">
        <f t="shared" ref="C139:R139" si="25">SUM(C132:C138)</f>
        <v>685</v>
      </c>
      <c r="D139" s="56">
        <f t="shared" si="25"/>
        <v>17.950200000000002</v>
      </c>
      <c r="E139" s="56">
        <f t="shared" si="25"/>
        <v>11.6152</v>
      </c>
      <c r="F139" s="56">
        <f t="shared" si="25"/>
        <v>84.646200000000007</v>
      </c>
      <c r="G139" s="56">
        <f t="shared" si="25"/>
        <v>514.92239999999993</v>
      </c>
      <c r="H139" s="56">
        <f t="shared" si="25"/>
        <v>0.60945000000000005</v>
      </c>
      <c r="I139" s="56">
        <f t="shared" si="25"/>
        <v>0.71304999999999996</v>
      </c>
      <c r="J139" s="56">
        <f t="shared" si="25"/>
        <v>49.575399999999995</v>
      </c>
      <c r="K139" s="56">
        <f t="shared" si="25"/>
        <v>0.17100000000000001</v>
      </c>
      <c r="L139" s="56">
        <f t="shared" si="25"/>
        <v>16.27685</v>
      </c>
      <c r="M139" s="56">
        <f t="shared" si="25"/>
        <v>223.20649999999998</v>
      </c>
      <c r="N139" s="56">
        <f t="shared" si="25"/>
        <v>367.7285</v>
      </c>
      <c r="O139" s="56">
        <f t="shared" si="25"/>
        <v>113.70299999999997</v>
      </c>
      <c r="P139" s="56">
        <f t="shared" si="25"/>
        <v>11.9925</v>
      </c>
      <c r="Q139" s="56">
        <f t="shared" si="25"/>
        <v>2.8389999999999995</v>
      </c>
      <c r="R139" s="56">
        <f t="shared" si="25"/>
        <v>0.03</v>
      </c>
      <c r="S139" s="13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39"/>
    </row>
    <row r="140" spans="1:38" s="46" customFormat="1" ht="15.75" customHeight="1" x14ac:dyDescent="0.25">
      <c r="A140" s="161"/>
      <c r="B140" s="165" t="s">
        <v>186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98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4"/>
    </row>
    <row r="141" spans="1:38" s="46" customFormat="1" ht="15.75" customHeight="1" x14ac:dyDescent="0.25">
      <c r="A141" s="225">
        <v>15</v>
      </c>
      <c r="B141" s="224" t="s">
        <v>207</v>
      </c>
      <c r="C141" s="65">
        <v>80</v>
      </c>
      <c r="D141" s="65">
        <v>0.56000000000000005</v>
      </c>
      <c r="E141" s="65">
        <v>0.08</v>
      </c>
      <c r="F141" s="65">
        <v>1.52</v>
      </c>
      <c r="G141" s="65">
        <v>9.02</v>
      </c>
      <c r="H141" s="65">
        <v>0.03</v>
      </c>
      <c r="I141" s="65">
        <v>0.01</v>
      </c>
      <c r="J141" s="65">
        <v>3.91</v>
      </c>
      <c r="K141" s="65">
        <v>0</v>
      </c>
      <c r="L141" s="65">
        <v>0.08</v>
      </c>
      <c r="M141" s="65">
        <v>13.57</v>
      </c>
      <c r="N141" s="65">
        <v>23.94</v>
      </c>
      <c r="O141" s="65">
        <v>11.17</v>
      </c>
      <c r="P141" s="65">
        <v>0.4</v>
      </c>
      <c r="Q141" s="65">
        <v>0.14000000000000001</v>
      </c>
      <c r="R141" s="65">
        <v>0</v>
      </c>
      <c r="S141" s="98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4"/>
    </row>
    <row r="142" spans="1:38" s="46" customFormat="1" ht="15.75" customHeight="1" x14ac:dyDescent="0.25">
      <c r="A142" s="206">
        <v>109</v>
      </c>
      <c r="B142" s="168" t="s">
        <v>175</v>
      </c>
      <c r="C142" s="169">
        <v>250</v>
      </c>
      <c r="D142" s="46">
        <v>1.6</v>
      </c>
      <c r="E142" s="46">
        <v>4.8600000000000003</v>
      </c>
      <c r="F142" s="46">
        <v>8.56</v>
      </c>
      <c r="G142" s="46">
        <f>D142*4+E142*9+F142*4</f>
        <v>84.38</v>
      </c>
      <c r="H142" s="46">
        <v>0.03</v>
      </c>
      <c r="I142" s="46">
        <v>0.04</v>
      </c>
      <c r="J142" s="46">
        <v>10.93</v>
      </c>
      <c r="K142" s="46">
        <v>0</v>
      </c>
      <c r="L142" s="46">
        <v>0.5</v>
      </c>
      <c r="M142" s="46">
        <v>52.53</v>
      </c>
      <c r="N142" s="46">
        <v>46.1</v>
      </c>
      <c r="O142" s="46">
        <v>23.13</v>
      </c>
      <c r="P142" s="98">
        <v>1.1000000000000001</v>
      </c>
      <c r="Q142" s="46">
        <v>0.74</v>
      </c>
      <c r="R142" s="173">
        <v>7.0000000000000007E-2</v>
      </c>
      <c r="S142" s="98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4"/>
    </row>
    <row r="143" spans="1:38" s="46" customFormat="1" ht="15.75" customHeight="1" x14ac:dyDescent="0.25">
      <c r="A143" s="168">
        <v>433</v>
      </c>
      <c r="B143" s="194" t="s">
        <v>176</v>
      </c>
      <c r="C143" s="176">
        <v>90</v>
      </c>
      <c r="D143" s="46">
        <f>5.29+0.57</f>
        <v>5.86</v>
      </c>
      <c r="E143" s="46">
        <f>14.8+1.51</f>
        <v>16.310000000000002</v>
      </c>
      <c r="F143" s="46">
        <f>1.28+1.79</f>
        <v>3.0700000000000003</v>
      </c>
      <c r="G143" s="46">
        <f t="shared" ref="G143:G148" si="26">D143*4+E143*9+F143*4</f>
        <v>182.51000000000002</v>
      </c>
      <c r="H143" s="46">
        <v>0.14000000000000001</v>
      </c>
      <c r="I143" s="46">
        <v>0.05</v>
      </c>
      <c r="J143" s="46">
        <v>0.09</v>
      </c>
      <c r="K143" s="46">
        <v>0</v>
      </c>
      <c r="L143" s="46">
        <v>0.3</v>
      </c>
      <c r="M143" s="46">
        <v>9.5399999999999991</v>
      </c>
      <c r="N143" s="46">
        <v>63.38</v>
      </c>
      <c r="O143" s="46">
        <v>11.3</v>
      </c>
      <c r="P143" s="98">
        <v>0.745</v>
      </c>
      <c r="Q143" s="46">
        <v>1.1200000000000001</v>
      </c>
      <c r="R143" s="173">
        <v>0.02</v>
      </c>
      <c r="S143" s="98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4"/>
    </row>
    <row r="144" spans="1:38" s="46" customFormat="1" ht="15.75" customHeight="1" x14ac:dyDescent="0.25">
      <c r="A144" s="168"/>
      <c r="B144" s="168" t="s">
        <v>177</v>
      </c>
      <c r="C144" s="169">
        <v>150</v>
      </c>
      <c r="D144" s="46">
        <v>2.98</v>
      </c>
      <c r="E144" s="46">
        <v>6.12</v>
      </c>
      <c r="F144" s="46">
        <v>30.9</v>
      </c>
      <c r="G144" s="46">
        <f t="shared" si="26"/>
        <v>190.6</v>
      </c>
      <c r="H144" s="46">
        <v>2.5999999999999999E-2</v>
      </c>
      <c r="I144" s="46">
        <v>2.5999999999999999E-2</v>
      </c>
      <c r="J144" s="46">
        <v>0</v>
      </c>
      <c r="K144" s="46">
        <v>0.31</v>
      </c>
      <c r="L144" s="46">
        <v>0.46</v>
      </c>
      <c r="M144" s="46">
        <v>13.42</v>
      </c>
      <c r="N144" s="46">
        <v>64.900000000000006</v>
      </c>
      <c r="O144" s="46">
        <v>21.97</v>
      </c>
      <c r="P144" s="98">
        <v>0.46</v>
      </c>
      <c r="Q144" s="46">
        <v>0.54</v>
      </c>
      <c r="R144" s="179">
        <v>0</v>
      </c>
      <c r="S144" s="98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4"/>
    </row>
    <row r="145" spans="1:38" s="46" customFormat="1" ht="15.75" customHeight="1" x14ac:dyDescent="0.25">
      <c r="A145" s="192">
        <v>639</v>
      </c>
      <c r="B145" s="192" t="s">
        <v>208</v>
      </c>
      <c r="C145" s="193">
        <v>200</v>
      </c>
      <c r="D145" s="46">
        <v>0.68</v>
      </c>
      <c r="E145" s="46">
        <v>0.28000000000000003</v>
      </c>
      <c r="F145" s="46">
        <v>20.76</v>
      </c>
      <c r="G145" s="46">
        <f t="shared" si="26"/>
        <v>88.28</v>
      </c>
      <c r="H145" s="46">
        <v>0.01</v>
      </c>
      <c r="I145" s="46">
        <v>0.06</v>
      </c>
      <c r="J145" s="46">
        <v>100</v>
      </c>
      <c r="K145" s="46">
        <v>0</v>
      </c>
      <c r="L145" s="46">
        <v>0</v>
      </c>
      <c r="M145" s="46">
        <v>21.34</v>
      </c>
      <c r="N145" s="46">
        <v>3.44</v>
      </c>
      <c r="O145" s="46">
        <v>3.44</v>
      </c>
      <c r="P145" s="98">
        <v>0.63400000000000001</v>
      </c>
      <c r="Q145" s="46">
        <v>0.02</v>
      </c>
      <c r="R145" s="173">
        <v>0.4</v>
      </c>
      <c r="S145" s="98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4"/>
    </row>
    <row r="146" spans="1:38" s="46" customFormat="1" ht="15.75" customHeight="1" x14ac:dyDescent="0.25">
      <c r="A146" s="175"/>
      <c r="B146" s="168" t="s">
        <v>160</v>
      </c>
      <c r="C146" s="176">
        <v>60</v>
      </c>
      <c r="D146" s="195">
        <v>4.05</v>
      </c>
      <c r="E146" s="195">
        <v>0.51</v>
      </c>
      <c r="F146" s="195">
        <v>30.09</v>
      </c>
      <c r="G146" s="46">
        <f t="shared" si="26"/>
        <v>141.15</v>
      </c>
      <c r="H146" s="195">
        <v>0.06</v>
      </c>
      <c r="I146" s="195" t="s">
        <v>178</v>
      </c>
      <c r="J146" s="195">
        <v>0</v>
      </c>
      <c r="K146" s="195">
        <v>0</v>
      </c>
      <c r="L146" s="195">
        <v>0.66</v>
      </c>
      <c r="M146" s="195">
        <v>12</v>
      </c>
      <c r="N146" s="195">
        <v>39</v>
      </c>
      <c r="O146" s="195">
        <v>8.4</v>
      </c>
      <c r="P146" s="195">
        <v>0.66</v>
      </c>
      <c r="Q146" s="195">
        <v>0</v>
      </c>
      <c r="R146" s="173">
        <v>0</v>
      </c>
      <c r="S146" s="98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4"/>
    </row>
    <row r="147" spans="1:38" s="46" customFormat="1" ht="15.75" customHeight="1" x14ac:dyDescent="0.25">
      <c r="A147" s="168"/>
      <c r="B147" s="168" t="s">
        <v>124</v>
      </c>
      <c r="C147" s="169">
        <v>20</v>
      </c>
      <c r="D147" s="171">
        <v>1.33</v>
      </c>
      <c r="E147" s="171">
        <v>0.24</v>
      </c>
      <c r="F147" s="171">
        <v>8.3699999999999992</v>
      </c>
      <c r="G147" s="46">
        <f t="shared" si="26"/>
        <v>40.959999999999994</v>
      </c>
      <c r="H147" s="171">
        <v>0.11</v>
      </c>
      <c r="I147" s="171">
        <v>7.0000000000000007E-2</v>
      </c>
      <c r="J147" s="171">
        <v>0.14000000000000001</v>
      </c>
      <c r="K147" s="171">
        <v>0</v>
      </c>
      <c r="L147" s="171">
        <v>0.11</v>
      </c>
      <c r="M147" s="171">
        <v>25.55</v>
      </c>
      <c r="N147" s="171">
        <v>43.75</v>
      </c>
      <c r="O147" s="171">
        <v>14</v>
      </c>
      <c r="P147" s="174">
        <v>0.98</v>
      </c>
      <c r="Q147" s="171">
        <v>0</v>
      </c>
      <c r="R147" s="173">
        <v>0.02</v>
      </c>
      <c r="S147" s="98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4"/>
    </row>
    <row r="148" spans="1:38" s="46" customFormat="1" ht="15.75" customHeight="1" x14ac:dyDescent="0.25">
      <c r="A148" s="168"/>
      <c r="B148" s="168" t="s">
        <v>164</v>
      </c>
      <c r="C148" s="169">
        <v>200</v>
      </c>
      <c r="D148" s="195">
        <f>2.5*2</f>
        <v>5</v>
      </c>
      <c r="E148" s="195">
        <f>2.5*2</f>
        <v>5</v>
      </c>
      <c r="F148" s="195">
        <f>8*0.75</f>
        <v>6</v>
      </c>
      <c r="G148" s="46">
        <f t="shared" si="26"/>
        <v>89</v>
      </c>
      <c r="H148" s="195">
        <v>0.08</v>
      </c>
      <c r="I148" s="195">
        <v>0.3</v>
      </c>
      <c r="J148" s="195">
        <v>2.6</v>
      </c>
      <c r="K148" s="195">
        <v>0.4</v>
      </c>
      <c r="L148" s="195">
        <v>0</v>
      </c>
      <c r="M148" s="195">
        <v>240</v>
      </c>
      <c r="N148" s="195">
        <v>180</v>
      </c>
      <c r="O148" s="195">
        <v>28</v>
      </c>
      <c r="P148" s="195">
        <v>0.2</v>
      </c>
      <c r="Q148" s="195">
        <v>0</v>
      </c>
      <c r="R148" s="173">
        <v>0</v>
      </c>
      <c r="S148" s="98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4"/>
    </row>
    <row r="149" spans="1:38" s="46" customFormat="1" ht="15.75" customHeight="1" x14ac:dyDescent="0.25">
      <c r="A149" s="187"/>
      <c r="B149" s="213" t="s">
        <v>21</v>
      </c>
      <c r="C149" s="188">
        <v>1050</v>
      </c>
      <c r="D149" s="184">
        <f t="shared" ref="D149:I149" si="27">SUM(D142:D148)</f>
        <v>21.5</v>
      </c>
      <c r="E149" s="184">
        <f t="shared" si="27"/>
        <v>33.320000000000007</v>
      </c>
      <c r="F149" s="184">
        <f t="shared" si="27"/>
        <v>107.75000000000001</v>
      </c>
      <c r="G149" s="184">
        <v>825.9</v>
      </c>
      <c r="H149" s="184">
        <v>0.49</v>
      </c>
      <c r="I149" s="184">
        <f t="shared" si="27"/>
        <v>0.54600000000000004</v>
      </c>
      <c r="J149" s="184">
        <v>117.81</v>
      </c>
      <c r="K149" s="184">
        <v>0.71</v>
      </c>
      <c r="L149" s="184">
        <v>2.11</v>
      </c>
      <c r="M149" s="184">
        <v>390.06</v>
      </c>
      <c r="N149" s="184">
        <v>464.51</v>
      </c>
      <c r="O149" s="184">
        <v>42</v>
      </c>
      <c r="P149" s="184">
        <v>5.18</v>
      </c>
      <c r="Q149" s="184">
        <v>2.56</v>
      </c>
      <c r="R149" s="184">
        <v>0.15</v>
      </c>
      <c r="S149" s="98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4"/>
    </row>
    <row r="150" spans="1:38" s="46" customFormat="1" ht="15.75" customHeight="1" x14ac:dyDescent="0.25">
      <c r="A150" s="161"/>
      <c r="B150" s="189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98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4"/>
    </row>
    <row r="151" spans="1:38" ht="15.75" customHeight="1" x14ac:dyDescent="0.25">
      <c r="A151" s="235" t="s">
        <v>112</v>
      </c>
      <c r="B151" s="236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135"/>
    </row>
    <row r="152" spans="1:38" s="46" customFormat="1" ht="15.75" customHeight="1" x14ac:dyDescent="0.25">
      <c r="A152" s="211"/>
      <c r="B152" s="165" t="s">
        <v>195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98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4"/>
    </row>
    <row r="153" spans="1:38" s="52" customFormat="1" ht="15.75" customHeight="1" x14ac:dyDescent="0.25">
      <c r="A153" s="85"/>
      <c r="B153" s="51" t="s">
        <v>187</v>
      </c>
      <c r="C153" s="51">
        <v>60</v>
      </c>
      <c r="D153" s="52">
        <v>0.42</v>
      </c>
      <c r="E153" s="52">
        <v>7.9799999999999996E-2</v>
      </c>
      <c r="F153" s="52">
        <v>1.1399999999999999</v>
      </c>
      <c r="G153" s="52">
        <v>6.78</v>
      </c>
      <c r="H153" s="52">
        <v>0.02</v>
      </c>
      <c r="I153" s="52">
        <v>1.3300000000000001E-2</v>
      </c>
      <c r="J153" s="52">
        <v>2.94</v>
      </c>
      <c r="K153" s="52">
        <v>0</v>
      </c>
      <c r="L153" s="52">
        <v>0</v>
      </c>
      <c r="M153" s="52">
        <v>10.199999999999999</v>
      </c>
      <c r="N153" s="52">
        <v>18</v>
      </c>
      <c r="O153" s="52">
        <v>8.4</v>
      </c>
      <c r="P153" s="52">
        <v>0.39900000000000002</v>
      </c>
      <c r="Q153" s="48">
        <v>0.13600000000000001</v>
      </c>
      <c r="R153" s="48">
        <v>0</v>
      </c>
      <c r="S153" s="13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0"/>
    </row>
    <row r="154" spans="1:38" s="52" customFormat="1" ht="15.75" customHeight="1" x14ac:dyDescent="0.25">
      <c r="A154" s="85">
        <v>462</v>
      </c>
      <c r="B154" s="51" t="s">
        <v>73</v>
      </c>
      <c r="C154" s="51">
        <v>90</v>
      </c>
      <c r="D154" s="46">
        <v>7.15</v>
      </c>
      <c r="E154" s="46">
        <v>8.11</v>
      </c>
      <c r="F154" s="46">
        <v>9.4</v>
      </c>
      <c r="G154" s="52">
        <f t="shared" ref="G154:G160" si="28">F154*4+E154*9+D154*4</f>
        <v>139.19</v>
      </c>
      <c r="H154" s="46">
        <v>0.03</v>
      </c>
      <c r="I154" s="46">
        <v>0.04</v>
      </c>
      <c r="J154" s="46">
        <v>0.55000000000000004</v>
      </c>
      <c r="K154" s="46">
        <v>0.25</v>
      </c>
      <c r="L154" s="46">
        <v>0</v>
      </c>
      <c r="M154" s="46">
        <v>18.03</v>
      </c>
      <c r="N154" s="46">
        <v>52.16</v>
      </c>
      <c r="O154" s="46">
        <v>10.65</v>
      </c>
      <c r="P154" s="46">
        <v>0.47</v>
      </c>
      <c r="Q154" s="52">
        <v>0.96</v>
      </c>
      <c r="R154" s="52">
        <v>0</v>
      </c>
      <c r="S154" s="13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0"/>
    </row>
    <row r="155" spans="1:38" s="52" customFormat="1" ht="15.75" customHeight="1" x14ac:dyDescent="0.25">
      <c r="A155" s="90">
        <v>600</v>
      </c>
      <c r="B155" s="51" t="s">
        <v>72</v>
      </c>
      <c r="C155" s="51">
        <v>50</v>
      </c>
      <c r="D155" s="46">
        <v>0.7</v>
      </c>
      <c r="E155" s="46">
        <v>2.4900000000000002</v>
      </c>
      <c r="F155" s="46">
        <v>2.93</v>
      </c>
      <c r="G155" s="52">
        <f t="shared" si="28"/>
        <v>36.93</v>
      </c>
      <c r="H155" s="46">
        <v>0.01</v>
      </c>
      <c r="I155" s="46">
        <v>0.01</v>
      </c>
      <c r="J155" s="46">
        <v>1.9E-2</v>
      </c>
      <c r="K155" s="46">
        <v>0.17</v>
      </c>
      <c r="L155" s="46">
        <v>0</v>
      </c>
      <c r="M155" s="46">
        <v>13.65</v>
      </c>
      <c r="N155" s="46">
        <v>11.36</v>
      </c>
      <c r="O155" s="46">
        <v>2.64</v>
      </c>
      <c r="P155" s="46">
        <v>0.1</v>
      </c>
      <c r="Q155" s="52">
        <v>0.13</v>
      </c>
      <c r="R155" s="52">
        <v>0</v>
      </c>
      <c r="S155" s="13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0"/>
    </row>
    <row r="156" spans="1:38" s="52" customFormat="1" ht="15.75" customHeight="1" x14ac:dyDescent="0.25">
      <c r="A156" s="85">
        <v>302</v>
      </c>
      <c r="B156" s="51" t="s">
        <v>128</v>
      </c>
      <c r="C156" s="51">
        <v>150</v>
      </c>
      <c r="D156" s="55">
        <v>7.8</v>
      </c>
      <c r="E156" s="55">
        <v>3.6</v>
      </c>
      <c r="F156" s="55">
        <v>39</v>
      </c>
      <c r="G156" s="52">
        <f t="shared" si="28"/>
        <v>219.6</v>
      </c>
      <c r="H156" s="55">
        <v>0.18</v>
      </c>
      <c r="I156" s="55">
        <v>0.1</v>
      </c>
      <c r="J156" s="55">
        <v>0</v>
      </c>
      <c r="K156" s="55">
        <v>0.35</v>
      </c>
      <c r="L156" s="55">
        <v>0.44</v>
      </c>
      <c r="M156" s="55">
        <v>23.55</v>
      </c>
      <c r="N156" s="55">
        <v>185.6</v>
      </c>
      <c r="O156" s="55">
        <v>123.9</v>
      </c>
      <c r="P156" s="55">
        <v>4.2</v>
      </c>
      <c r="Q156" s="52">
        <v>1.1000000000000001</v>
      </c>
      <c r="R156" s="52">
        <v>0</v>
      </c>
      <c r="S156" s="13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0"/>
    </row>
    <row r="157" spans="1:38" s="52" customFormat="1" ht="15.75" customHeight="1" x14ac:dyDescent="0.25">
      <c r="A157" s="85">
        <v>685</v>
      </c>
      <c r="B157" s="51" t="s">
        <v>192</v>
      </c>
      <c r="C157" s="51">
        <v>200</v>
      </c>
      <c r="D157" s="52">
        <v>0.6</v>
      </c>
      <c r="E157" s="52">
        <v>0.4</v>
      </c>
      <c r="F157" s="52">
        <v>10.4</v>
      </c>
      <c r="G157" s="52">
        <f t="shared" si="28"/>
        <v>47.6</v>
      </c>
      <c r="H157" s="52">
        <v>0.02</v>
      </c>
      <c r="I157" s="52">
        <v>0.04</v>
      </c>
      <c r="J157" s="52">
        <v>3.4</v>
      </c>
      <c r="K157" s="52">
        <v>0</v>
      </c>
      <c r="L157" s="52">
        <v>0.4</v>
      </c>
      <c r="M157" s="52">
        <v>21.2</v>
      </c>
      <c r="N157" s="52">
        <v>22.6</v>
      </c>
      <c r="O157" s="52">
        <v>14.6</v>
      </c>
      <c r="P157" s="52">
        <v>3.2</v>
      </c>
      <c r="Q157" s="52">
        <v>0.12</v>
      </c>
      <c r="R157" s="52">
        <v>0</v>
      </c>
      <c r="S157" s="13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0"/>
    </row>
    <row r="158" spans="1:38" s="52" customFormat="1" ht="15.75" customHeight="1" x14ac:dyDescent="0.25">
      <c r="A158" s="85"/>
      <c r="B158" s="51" t="s">
        <v>124</v>
      </c>
      <c r="C158" s="51">
        <v>25</v>
      </c>
      <c r="D158" s="52">
        <v>1.6625000000000001</v>
      </c>
      <c r="E158" s="52">
        <v>0.3</v>
      </c>
      <c r="F158" s="52">
        <v>10.462499999999999</v>
      </c>
      <c r="G158" s="52">
        <f t="shared" si="28"/>
        <v>51.199999999999996</v>
      </c>
      <c r="H158" s="52">
        <v>0.13124999999999998</v>
      </c>
      <c r="I158" s="52">
        <v>8.7499999999999981E-2</v>
      </c>
      <c r="J158" s="52">
        <v>0.17499999999999996</v>
      </c>
      <c r="K158" s="52">
        <v>0</v>
      </c>
      <c r="L158" s="52">
        <v>0.13124999999999998</v>
      </c>
      <c r="M158" s="52">
        <v>31.937499999999996</v>
      </c>
      <c r="N158" s="52">
        <v>54.6875</v>
      </c>
      <c r="O158" s="52">
        <v>17.5</v>
      </c>
      <c r="P158" s="52">
        <v>1.2249999999999999</v>
      </c>
      <c r="Q158" s="52">
        <v>0.3</v>
      </c>
      <c r="R158" s="52">
        <v>0.02</v>
      </c>
      <c r="S158" s="13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0"/>
    </row>
    <row r="159" spans="1:38" s="52" customFormat="1" ht="15.75" customHeight="1" x14ac:dyDescent="0.25">
      <c r="A159" s="91"/>
      <c r="B159" s="51" t="s">
        <v>4</v>
      </c>
      <c r="C159" s="51">
        <v>40</v>
      </c>
      <c r="D159" s="52">
        <f>1.35*2</f>
        <v>2.7</v>
      </c>
      <c r="E159" s="52">
        <f>0.172*2</f>
        <v>0.34399999999999997</v>
      </c>
      <c r="F159" s="52">
        <f>10.03*2</f>
        <v>20.059999999999999</v>
      </c>
      <c r="G159" s="52">
        <f t="shared" si="28"/>
        <v>94.135999999999996</v>
      </c>
      <c r="H159" s="52">
        <v>2.4E-2</v>
      </c>
      <c r="I159" s="52">
        <v>5.0000000000000001E-3</v>
      </c>
      <c r="J159" s="52">
        <v>0</v>
      </c>
      <c r="K159" s="52">
        <v>0</v>
      </c>
      <c r="L159" s="52">
        <v>0.42</v>
      </c>
      <c r="M159" s="52">
        <v>8</v>
      </c>
      <c r="N159" s="52">
        <v>26</v>
      </c>
      <c r="O159" s="52">
        <v>5.6</v>
      </c>
      <c r="P159" s="52">
        <v>0.4</v>
      </c>
      <c r="Q159" s="52">
        <v>0.3</v>
      </c>
      <c r="R159" s="52">
        <v>0</v>
      </c>
      <c r="S159" s="13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0"/>
    </row>
    <row r="160" spans="1:38" ht="15.75" customHeight="1" x14ac:dyDescent="0.25">
      <c r="A160" s="94"/>
      <c r="B160" s="64" t="s">
        <v>193</v>
      </c>
      <c r="C160" s="64">
        <v>100</v>
      </c>
      <c r="D160" s="46">
        <v>1.08</v>
      </c>
      <c r="E160" s="46">
        <v>0.5</v>
      </c>
      <c r="F160" s="46">
        <f>67*0.25</f>
        <v>16.75</v>
      </c>
      <c r="G160" s="52">
        <f t="shared" si="28"/>
        <v>75.819999999999993</v>
      </c>
      <c r="H160" s="46">
        <v>0.03</v>
      </c>
      <c r="I160" s="46">
        <v>4.0000000000000001E-3</v>
      </c>
      <c r="J160" s="46">
        <v>0</v>
      </c>
      <c r="K160" s="46">
        <v>0.2</v>
      </c>
      <c r="L160" s="46">
        <v>0</v>
      </c>
      <c r="M160" s="46">
        <v>7.24</v>
      </c>
      <c r="N160" s="46">
        <v>26.87</v>
      </c>
      <c r="O160" s="46">
        <v>5.5</v>
      </c>
      <c r="P160" s="46">
        <v>0.45</v>
      </c>
      <c r="Q160" s="52">
        <v>0</v>
      </c>
      <c r="R160" s="52">
        <v>0</v>
      </c>
      <c r="S160" s="135"/>
    </row>
    <row r="161" spans="1:38" ht="15.75" customHeight="1" x14ac:dyDescent="0.25">
      <c r="A161" s="88"/>
      <c r="B161" s="214" t="s">
        <v>21</v>
      </c>
      <c r="C161" s="56">
        <f t="shared" ref="C161:R161" si="29">SUM(C153:C160)</f>
        <v>715</v>
      </c>
      <c r="D161" s="56">
        <f t="shared" si="29"/>
        <v>22.112500000000004</v>
      </c>
      <c r="E161" s="56">
        <f t="shared" si="29"/>
        <v>15.8238</v>
      </c>
      <c r="F161" s="56">
        <f t="shared" si="29"/>
        <v>110.1425</v>
      </c>
      <c r="G161" s="56">
        <f t="shared" si="29"/>
        <v>671.25600000000009</v>
      </c>
      <c r="H161" s="56">
        <f t="shared" si="29"/>
        <v>0.44525000000000003</v>
      </c>
      <c r="I161" s="56">
        <f t="shared" si="29"/>
        <v>0.29980000000000001</v>
      </c>
      <c r="J161" s="56">
        <f t="shared" si="29"/>
        <v>7.0840000000000005</v>
      </c>
      <c r="K161" s="56">
        <f t="shared" si="29"/>
        <v>0.97</v>
      </c>
      <c r="L161" s="56">
        <f t="shared" si="29"/>
        <v>1.3912500000000001</v>
      </c>
      <c r="M161" s="56">
        <f t="shared" si="29"/>
        <v>133.8075</v>
      </c>
      <c r="N161" s="56">
        <f t="shared" si="29"/>
        <v>397.27750000000003</v>
      </c>
      <c r="O161" s="56">
        <f t="shared" si="29"/>
        <v>188.79</v>
      </c>
      <c r="P161" s="56">
        <f t="shared" si="29"/>
        <v>10.443999999999999</v>
      </c>
      <c r="Q161" s="56">
        <f t="shared" si="29"/>
        <v>3.0459999999999998</v>
      </c>
      <c r="R161" s="56">
        <f t="shared" si="29"/>
        <v>0.02</v>
      </c>
      <c r="S161" s="135"/>
    </row>
    <row r="162" spans="1:38" s="46" customFormat="1" ht="15.75" customHeight="1" x14ac:dyDescent="0.25">
      <c r="A162" s="161"/>
      <c r="B162" s="185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98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4"/>
    </row>
    <row r="163" spans="1:38" s="46" customFormat="1" ht="15.75" customHeight="1" x14ac:dyDescent="0.25">
      <c r="A163" s="161"/>
      <c r="B163" s="165" t="s">
        <v>186</v>
      </c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98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4"/>
    </row>
    <row r="164" spans="1:38" s="46" customFormat="1" ht="15.75" customHeight="1" x14ac:dyDescent="0.25">
      <c r="A164" s="186"/>
      <c r="B164" s="168" t="s">
        <v>187</v>
      </c>
      <c r="C164" s="168">
        <v>60</v>
      </c>
      <c r="D164" s="55">
        <v>0.42</v>
      </c>
      <c r="E164" s="55">
        <v>0.06</v>
      </c>
      <c r="F164" s="55">
        <v>1.1399999999999999</v>
      </c>
      <c r="G164" s="55">
        <f>D164*4+E164*9+F164*4</f>
        <v>6.7799999999999994</v>
      </c>
      <c r="H164" s="55">
        <v>2.4E-2</v>
      </c>
      <c r="I164" s="55">
        <v>1.2E-2</v>
      </c>
      <c r="J164" s="55">
        <v>2.94</v>
      </c>
      <c r="K164" s="55">
        <v>0</v>
      </c>
      <c r="L164" s="55">
        <v>0</v>
      </c>
      <c r="M164" s="55">
        <v>10.199999999999999</v>
      </c>
      <c r="N164" s="55">
        <v>18</v>
      </c>
      <c r="O164" s="55">
        <v>8.4</v>
      </c>
      <c r="P164" s="55">
        <v>0.3</v>
      </c>
      <c r="Q164" s="55">
        <v>0.12</v>
      </c>
      <c r="R164" s="173">
        <v>0</v>
      </c>
      <c r="S164" s="98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4"/>
    </row>
    <row r="165" spans="1:38" s="46" customFormat="1" ht="15.75" customHeight="1" x14ac:dyDescent="0.25">
      <c r="A165" s="207">
        <v>147</v>
      </c>
      <c r="B165" s="208" t="s">
        <v>179</v>
      </c>
      <c r="C165" s="191">
        <v>250</v>
      </c>
      <c r="D165" s="55">
        <v>2.38</v>
      </c>
      <c r="E165" s="55">
        <v>5.077</v>
      </c>
      <c r="F165" s="55">
        <v>12.9</v>
      </c>
      <c r="G165" s="55">
        <f t="shared" ref="G165:G171" si="30">D165*4+E165*9+F165*4</f>
        <v>106.81299999999999</v>
      </c>
      <c r="H165" s="55">
        <v>5.5E-2</v>
      </c>
      <c r="I165" s="55">
        <v>2.1999999999999999E-2</v>
      </c>
      <c r="J165" s="55">
        <v>0.95</v>
      </c>
      <c r="K165" s="55">
        <v>0</v>
      </c>
      <c r="L165" s="55">
        <v>0.2</v>
      </c>
      <c r="M165" s="55">
        <v>27.3</v>
      </c>
      <c r="N165" s="55">
        <v>36.770000000000003</v>
      </c>
      <c r="O165" s="55">
        <v>15.22</v>
      </c>
      <c r="P165" s="55">
        <v>0.72</v>
      </c>
      <c r="Q165" s="55">
        <v>0.21</v>
      </c>
      <c r="R165" s="173">
        <v>0</v>
      </c>
      <c r="S165" s="98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4"/>
    </row>
    <row r="166" spans="1:38" s="46" customFormat="1" ht="15.75" customHeight="1" x14ac:dyDescent="0.25">
      <c r="A166" s="192">
        <v>388</v>
      </c>
      <c r="B166" s="192" t="s">
        <v>180</v>
      </c>
      <c r="C166" s="192">
        <v>90</v>
      </c>
      <c r="D166" s="55">
        <v>7.23</v>
      </c>
      <c r="E166" s="55">
        <v>6.95</v>
      </c>
      <c r="F166" s="55">
        <v>11.03</v>
      </c>
      <c r="G166" s="55">
        <f t="shared" si="30"/>
        <v>135.59</v>
      </c>
      <c r="H166" s="55">
        <v>4.7E-2</v>
      </c>
      <c r="I166" s="55">
        <v>7.0000000000000007E-2</v>
      </c>
      <c r="J166" s="55">
        <v>0.88</v>
      </c>
      <c r="K166" s="55">
        <v>0.15</v>
      </c>
      <c r="L166" s="55">
        <v>0.4</v>
      </c>
      <c r="M166" s="55">
        <v>40.92</v>
      </c>
      <c r="N166" s="55">
        <v>92.31</v>
      </c>
      <c r="O166" s="55">
        <v>27.56</v>
      </c>
      <c r="P166" s="55">
        <v>0.77</v>
      </c>
      <c r="Q166" s="55">
        <v>0.9</v>
      </c>
      <c r="R166" s="173">
        <v>0.86</v>
      </c>
      <c r="S166" s="98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4"/>
    </row>
    <row r="167" spans="1:38" s="46" customFormat="1" ht="15.75" customHeight="1" x14ac:dyDescent="0.25">
      <c r="A167" s="190">
        <v>203</v>
      </c>
      <c r="B167" s="191" t="s">
        <v>84</v>
      </c>
      <c r="C167" s="203">
        <v>150</v>
      </c>
      <c r="D167" s="46">
        <v>2.67</v>
      </c>
      <c r="E167" s="46">
        <v>5.24</v>
      </c>
      <c r="F167" s="46">
        <v>18.54</v>
      </c>
      <c r="G167" s="55">
        <f t="shared" si="30"/>
        <v>132</v>
      </c>
      <c r="H167" s="46">
        <v>0.15</v>
      </c>
      <c r="I167" s="46">
        <v>0.1</v>
      </c>
      <c r="J167" s="46">
        <v>19.11</v>
      </c>
      <c r="K167" s="46">
        <v>0.08</v>
      </c>
      <c r="L167" s="46">
        <v>0</v>
      </c>
      <c r="M167" s="46">
        <v>18.100000000000001</v>
      </c>
      <c r="N167" s="46">
        <v>73.900000000000006</v>
      </c>
      <c r="O167" s="46">
        <v>26.92</v>
      </c>
      <c r="P167" s="98">
        <v>1.08</v>
      </c>
      <c r="Q167" s="46">
        <v>0.37</v>
      </c>
      <c r="R167" s="173">
        <v>0</v>
      </c>
      <c r="S167" s="98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4"/>
    </row>
    <row r="168" spans="1:38" s="46" customFormat="1" ht="15.75" customHeight="1" x14ac:dyDescent="0.25">
      <c r="A168" s="168"/>
      <c r="B168" s="168" t="s">
        <v>198</v>
      </c>
      <c r="C168" s="168">
        <v>200</v>
      </c>
      <c r="D168" s="171">
        <v>0.12</v>
      </c>
      <c r="E168" s="171">
        <v>0.1</v>
      </c>
      <c r="F168" s="171">
        <v>27.5</v>
      </c>
      <c r="G168" s="46">
        <f t="shared" si="30"/>
        <v>111.38</v>
      </c>
      <c r="H168" s="171">
        <v>0.01</v>
      </c>
      <c r="I168" s="171" t="s">
        <v>170</v>
      </c>
      <c r="J168" s="171">
        <v>2.0699999999999998</v>
      </c>
      <c r="K168" s="171">
        <v>0</v>
      </c>
      <c r="L168" s="171">
        <v>0</v>
      </c>
      <c r="M168" s="171">
        <v>16.2</v>
      </c>
      <c r="N168" s="171">
        <v>7.2</v>
      </c>
      <c r="O168" s="171">
        <v>7.51</v>
      </c>
      <c r="P168" s="174">
        <v>0.89</v>
      </c>
      <c r="Q168" s="171">
        <v>7.0000000000000007E-2</v>
      </c>
      <c r="R168" s="173">
        <v>0</v>
      </c>
      <c r="S168" s="98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4"/>
    </row>
    <row r="169" spans="1:38" s="46" customFormat="1" ht="15.75" customHeight="1" x14ac:dyDescent="0.25">
      <c r="A169" s="175"/>
      <c r="B169" s="168" t="s">
        <v>160</v>
      </c>
      <c r="C169" s="176">
        <v>60</v>
      </c>
      <c r="D169" s="195">
        <v>4.05</v>
      </c>
      <c r="E169" s="195">
        <v>0.51</v>
      </c>
      <c r="F169" s="195">
        <v>30.09</v>
      </c>
      <c r="G169" s="46">
        <f t="shared" si="30"/>
        <v>141.15</v>
      </c>
      <c r="H169" s="195">
        <v>0.06</v>
      </c>
      <c r="I169" s="195" t="s">
        <v>178</v>
      </c>
      <c r="J169" s="195">
        <v>0</v>
      </c>
      <c r="K169" s="195">
        <v>0</v>
      </c>
      <c r="L169" s="195">
        <v>0.66</v>
      </c>
      <c r="M169" s="195">
        <v>12</v>
      </c>
      <c r="N169" s="195">
        <v>39</v>
      </c>
      <c r="O169" s="195">
        <v>8.4</v>
      </c>
      <c r="P169" s="195">
        <v>0.66</v>
      </c>
      <c r="Q169" s="195">
        <v>0</v>
      </c>
      <c r="R169" s="173">
        <v>0</v>
      </c>
      <c r="S169" s="98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4"/>
    </row>
    <row r="170" spans="1:38" s="46" customFormat="1" ht="15.75" customHeight="1" x14ac:dyDescent="0.25">
      <c r="A170" s="168"/>
      <c r="B170" s="168" t="s">
        <v>124</v>
      </c>
      <c r="C170" s="169">
        <v>40</v>
      </c>
      <c r="D170" s="171">
        <v>2.66</v>
      </c>
      <c r="E170" s="171">
        <v>0.48</v>
      </c>
      <c r="F170" s="171">
        <v>16.739999999999998</v>
      </c>
      <c r="G170" s="55">
        <f t="shared" si="30"/>
        <v>81.919999999999987</v>
      </c>
      <c r="H170" s="171">
        <v>0.22</v>
      </c>
      <c r="I170" s="171">
        <v>0.14000000000000001</v>
      </c>
      <c r="J170" s="171">
        <v>0.28000000000000003</v>
      </c>
      <c r="K170" s="171">
        <v>0</v>
      </c>
      <c r="L170" s="171">
        <v>0.22</v>
      </c>
      <c r="M170" s="171">
        <v>51.1</v>
      </c>
      <c r="N170" s="171">
        <v>87.5</v>
      </c>
      <c r="O170" s="171">
        <v>28</v>
      </c>
      <c r="P170" s="174">
        <v>1.96</v>
      </c>
      <c r="Q170" s="171">
        <v>0</v>
      </c>
      <c r="R170" s="173">
        <v>0.04</v>
      </c>
      <c r="S170" s="98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4"/>
    </row>
    <row r="171" spans="1:38" s="46" customFormat="1" ht="15.75" customHeight="1" x14ac:dyDescent="0.25">
      <c r="A171" s="168"/>
      <c r="B171" s="168" t="s">
        <v>204</v>
      </c>
      <c r="C171" s="169">
        <v>70</v>
      </c>
      <c r="D171" s="209">
        <v>3.32</v>
      </c>
      <c r="E171" s="209">
        <v>1.65</v>
      </c>
      <c r="F171" s="209">
        <v>15.68</v>
      </c>
      <c r="G171" s="55">
        <f t="shared" si="30"/>
        <v>90.85</v>
      </c>
      <c r="H171" s="170">
        <v>0.05</v>
      </c>
      <c r="I171" s="170">
        <v>0.03</v>
      </c>
      <c r="J171" s="170">
        <v>16</v>
      </c>
      <c r="K171" s="170">
        <v>0</v>
      </c>
      <c r="L171" s="170">
        <v>0.2</v>
      </c>
      <c r="M171" s="170">
        <v>25.6</v>
      </c>
      <c r="N171" s="170">
        <v>17.600000000000001</v>
      </c>
      <c r="O171" s="170">
        <v>14.4</v>
      </c>
      <c r="P171" s="170">
        <v>3.52</v>
      </c>
      <c r="Q171" s="170">
        <v>0.24</v>
      </c>
      <c r="R171" s="173">
        <v>0</v>
      </c>
      <c r="S171" s="98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4"/>
    </row>
    <row r="172" spans="1:38" s="46" customFormat="1" ht="15.75" customHeight="1" x14ac:dyDescent="0.25">
      <c r="A172" s="187"/>
      <c r="B172" s="213" t="s">
        <v>21</v>
      </c>
      <c r="C172" s="188">
        <f t="shared" ref="C172:R172" si="31">SUM(C164:C171)</f>
        <v>920</v>
      </c>
      <c r="D172" s="184">
        <f t="shared" si="31"/>
        <v>22.85</v>
      </c>
      <c r="E172" s="184">
        <f t="shared" si="31"/>
        <v>20.067</v>
      </c>
      <c r="F172" s="184">
        <f t="shared" si="31"/>
        <v>133.62</v>
      </c>
      <c r="G172" s="184">
        <f t="shared" si="31"/>
        <v>806.48299999999995</v>
      </c>
      <c r="H172" s="184">
        <f t="shared" si="31"/>
        <v>0.6160000000000001</v>
      </c>
      <c r="I172" s="184">
        <f t="shared" si="31"/>
        <v>0.374</v>
      </c>
      <c r="J172" s="184">
        <f t="shared" si="31"/>
        <v>42.230000000000004</v>
      </c>
      <c r="K172" s="184">
        <f t="shared" si="31"/>
        <v>0.22999999999999998</v>
      </c>
      <c r="L172" s="184">
        <f t="shared" si="31"/>
        <v>1.6800000000000002</v>
      </c>
      <c r="M172" s="184">
        <f t="shared" si="31"/>
        <v>201.42000000000002</v>
      </c>
      <c r="N172" s="184">
        <f t="shared" si="31"/>
        <v>372.28000000000003</v>
      </c>
      <c r="O172" s="184">
        <f t="shared" si="31"/>
        <v>136.41</v>
      </c>
      <c r="P172" s="184">
        <f t="shared" si="31"/>
        <v>9.9</v>
      </c>
      <c r="Q172" s="184">
        <f t="shared" si="31"/>
        <v>1.9100000000000001</v>
      </c>
      <c r="R172" s="184">
        <f t="shared" si="31"/>
        <v>0.9</v>
      </c>
      <c r="S172" s="98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4"/>
    </row>
    <row r="173" spans="1:38" s="46" customFormat="1" ht="15.75" customHeight="1" x14ac:dyDescent="0.25">
      <c r="A173" s="161"/>
      <c r="B173" s="185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98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4"/>
    </row>
    <row r="174" spans="1:38" s="52" customFormat="1" ht="15.75" customHeight="1" x14ac:dyDescent="0.25">
      <c r="A174" s="235" t="s">
        <v>113</v>
      </c>
      <c r="B174" s="236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13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0"/>
    </row>
    <row r="175" spans="1:38" s="46" customFormat="1" ht="15.75" customHeight="1" x14ac:dyDescent="0.25">
      <c r="A175" s="211"/>
      <c r="B175" s="165" t="s">
        <v>195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98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4"/>
    </row>
    <row r="176" spans="1:38" s="52" customFormat="1" ht="15.75" customHeight="1" x14ac:dyDescent="0.25">
      <c r="A176" s="85">
        <v>362</v>
      </c>
      <c r="B176" s="51" t="s">
        <v>69</v>
      </c>
      <c r="C176" s="51">
        <v>160</v>
      </c>
      <c r="D176" s="46">
        <v>16.48</v>
      </c>
      <c r="E176" s="46">
        <v>13.92</v>
      </c>
      <c r="F176" s="46">
        <v>33.479999999999997</v>
      </c>
      <c r="G176" s="46">
        <f>F176*4+E176*9+D176*4</f>
        <v>325.12</v>
      </c>
      <c r="H176" s="46">
        <v>0.1</v>
      </c>
      <c r="I176" s="46">
        <v>0.26</v>
      </c>
      <c r="J176" s="46">
        <v>0.42</v>
      </c>
      <c r="K176" s="46">
        <v>0.83</v>
      </c>
      <c r="L176" s="46">
        <v>0</v>
      </c>
      <c r="M176" s="46">
        <v>170.72</v>
      </c>
      <c r="N176" s="46">
        <v>224.08</v>
      </c>
      <c r="O176" s="46">
        <v>29.82</v>
      </c>
      <c r="P176" s="46">
        <v>1.18</v>
      </c>
      <c r="Q176" s="52">
        <v>0.59</v>
      </c>
      <c r="R176" s="52">
        <v>0</v>
      </c>
      <c r="S176" s="13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0"/>
    </row>
    <row r="177" spans="1:38" s="52" customFormat="1" ht="15.75" customHeight="1" x14ac:dyDescent="0.25">
      <c r="A177" s="87"/>
      <c r="B177" s="65" t="s">
        <v>91</v>
      </c>
      <c r="C177" s="65">
        <v>15</v>
      </c>
      <c r="D177" s="52">
        <v>1.1278195488721805</v>
      </c>
      <c r="E177" s="52">
        <v>3.0075187969924809E-3</v>
      </c>
      <c r="F177" s="52">
        <v>8.5413533834586453</v>
      </c>
      <c r="G177" s="46">
        <f t="shared" ref="G177:G179" si="32">F177*4+E177*9+D177*4</f>
        <v>38.703759398496231</v>
      </c>
      <c r="H177" s="52">
        <v>7.5187969924812026E-3</v>
      </c>
      <c r="I177" s="52">
        <v>2.2556390977443608E-2</v>
      </c>
      <c r="J177" s="52">
        <v>0.15037593984962405</v>
      </c>
      <c r="K177" s="52">
        <v>0</v>
      </c>
      <c r="L177" s="52">
        <v>0</v>
      </c>
      <c r="M177" s="52">
        <v>47.669172932330824</v>
      </c>
      <c r="N177" s="52">
        <v>34.436090225563909</v>
      </c>
      <c r="O177" s="52">
        <v>5.1127819548872173</v>
      </c>
      <c r="P177" s="52">
        <v>3.007518796992481E-2</v>
      </c>
      <c r="Q177" s="52">
        <v>0.15</v>
      </c>
      <c r="R177" s="52">
        <v>0</v>
      </c>
      <c r="S177" s="13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0"/>
    </row>
    <row r="178" spans="1:38" s="52" customFormat="1" ht="15.75" customHeight="1" x14ac:dyDescent="0.25">
      <c r="A178" s="85">
        <v>694</v>
      </c>
      <c r="B178" s="51" t="s">
        <v>6</v>
      </c>
      <c r="C178" s="51">
        <v>200</v>
      </c>
      <c r="D178" s="55">
        <v>4.07</v>
      </c>
      <c r="E178" s="55">
        <v>3.5</v>
      </c>
      <c r="F178" s="55">
        <v>17.5</v>
      </c>
      <c r="G178" s="46">
        <f t="shared" si="32"/>
        <v>117.78</v>
      </c>
      <c r="H178" s="55">
        <f>0.28*0.18</f>
        <v>5.04E-2</v>
      </c>
      <c r="I178" s="55">
        <v>0.18</v>
      </c>
      <c r="J178" s="55">
        <v>1.57</v>
      </c>
      <c r="K178" s="55">
        <v>0.24</v>
      </c>
      <c r="L178" s="55">
        <v>0</v>
      </c>
      <c r="M178" s="55">
        <v>152.19999999999999</v>
      </c>
      <c r="N178" s="55">
        <v>124.5</v>
      </c>
      <c r="O178" s="55">
        <v>21.34</v>
      </c>
      <c r="P178" s="55">
        <v>0.47</v>
      </c>
      <c r="Q178" s="52">
        <v>0.5</v>
      </c>
      <c r="R178" s="52">
        <v>0</v>
      </c>
      <c r="S178" s="13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0"/>
    </row>
    <row r="179" spans="1:38" s="52" customFormat="1" ht="15.75" customHeight="1" x14ac:dyDescent="0.25">
      <c r="A179" s="91"/>
      <c r="B179" s="51" t="s">
        <v>4</v>
      </c>
      <c r="C179" s="51">
        <v>40</v>
      </c>
      <c r="D179" s="52">
        <f>1.35*2</f>
        <v>2.7</v>
      </c>
      <c r="E179" s="52">
        <f>0.172*2</f>
        <v>0.34399999999999997</v>
      </c>
      <c r="F179" s="52">
        <f>10.03*2</f>
        <v>20.059999999999999</v>
      </c>
      <c r="G179" s="52">
        <f t="shared" si="32"/>
        <v>94.135999999999996</v>
      </c>
      <c r="H179" s="52">
        <v>2.4E-2</v>
      </c>
      <c r="I179" s="52">
        <v>5.0000000000000001E-3</v>
      </c>
      <c r="J179" s="52">
        <v>0</v>
      </c>
      <c r="K179" s="52">
        <v>0</v>
      </c>
      <c r="L179" s="52">
        <v>0.42</v>
      </c>
      <c r="M179" s="52">
        <v>8</v>
      </c>
      <c r="N179" s="52">
        <v>26</v>
      </c>
      <c r="O179" s="52">
        <v>5.6</v>
      </c>
      <c r="P179" s="52">
        <v>0.4</v>
      </c>
      <c r="Q179" s="52">
        <v>0.3</v>
      </c>
      <c r="R179" s="52">
        <v>0</v>
      </c>
      <c r="S179" s="13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0"/>
    </row>
    <row r="180" spans="1:38" s="52" customFormat="1" ht="15.75" customHeight="1" x14ac:dyDescent="0.25">
      <c r="A180" s="91"/>
      <c r="B180" s="51" t="s">
        <v>129</v>
      </c>
      <c r="C180" s="51">
        <v>180</v>
      </c>
      <c r="D180" s="55">
        <f>5*1.8</f>
        <v>9</v>
      </c>
      <c r="E180" s="55">
        <f>3.2*1.8</f>
        <v>5.7600000000000007</v>
      </c>
      <c r="F180" s="55">
        <f>3.5*1.8</f>
        <v>6.3</v>
      </c>
      <c r="G180" s="46">
        <f t="shared" ref="G180" si="33">F180*4+E180*9+D180*4</f>
        <v>113.04</v>
      </c>
      <c r="H180" s="55">
        <f>0.04*0.75</f>
        <v>0.03</v>
      </c>
      <c r="I180" s="55">
        <v>0.26</v>
      </c>
      <c r="J180" s="55">
        <v>0.54</v>
      </c>
      <c r="K180" s="55">
        <v>0.36</v>
      </c>
      <c r="L180" s="55">
        <v>0</v>
      </c>
      <c r="M180" s="55">
        <v>223.2</v>
      </c>
      <c r="N180" s="55">
        <v>165.6</v>
      </c>
      <c r="O180" s="55">
        <v>25.2</v>
      </c>
      <c r="P180" s="55">
        <v>0.18</v>
      </c>
      <c r="Q180" s="52">
        <v>0.72</v>
      </c>
      <c r="R180" s="52">
        <v>0</v>
      </c>
      <c r="S180" s="13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0"/>
    </row>
    <row r="181" spans="1:38" ht="15.75" customHeight="1" x14ac:dyDescent="0.25">
      <c r="A181" s="226"/>
      <c r="B181" s="227" t="s">
        <v>5</v>
      </c>
      <c r="C181" s="228">
        <v>100</v>
      </c>
      <c r="D181" s="229">
        <v>1.05</v>
      </c>
      <c r="E181" s="229">
        <v>0.12</v>
      </c>
      <c r="F181" s="229">
        <v>14.8</v>
      </c>
      <c r="G181" s="229">
        <v>67.7</v>
      </c>
      <c r="H181" s="229">
        <v>0.04</v>
      </c>
      <c r="I181" s="229">
        <v>0.01</v>
      </c>
      <c r="J181" s="229">
        <v>5</v>
      </c>
      <c r="K181" s="229">
        <v>0</v>
      </c>
      <c r="L181" s="229">
        <v>0.33</v>
      </c>
      <c r="M181" s="229">
        <v>25</v>
      </c>
      <c r="N181" s="229">
        <v>18.3</v>
      </c>
      <c r="O181" s="229">
        <v>14.16</v>
      </c>
      <c r="P181" s="229">
        <v>0.45</v>
      </c>
      <c r="Q181" s="229">
        <v>0</v>
      </c>
      <c r="R181" s="229">
        <v>0</v>
      </c>
      <c r="S181" s="135"/>
    </row>
    <row r="182" spans="1:38" ht="15.75" customHeight="1" x14ac:dyDescent="0.25">
      <c r="A182" s="88"/>
      <c r="B182" s="214" t="s">
        <v>21</v>
      </c>
      <c r="C182" s="56">
        <f t="shared" ref="C182:R182" si="34">SUM(C176:C181)</f>
        <v>695</v>
      </c>
      <c r="D182" s="56">
        <f t="shared" si="34"/>
        <v>34.427819548872179</v>
      </c>
      <c r="E182" s="56">
        <f t="shared" si="34"/>
        <v>23.647007518796997</v>
      </c>
      <c r="F182" s="56">
        <f t="shared" si="34"/>
        <v>100.68135338345864</v>
      </c>
      <c r="G182" s="56">
        <f t="shared" si="34"/>
        <v>756.47975939849618</v>
      </c>
      <c r="H182" s="56">
        <f t="shared" si="34"/>
        <v>0.25191879699248121</v>
      </c>
      <c r="I182" s="56">
        <f t="shared" si="34"/>
        <v>0.73755639097744363</v>
      </c>
      <c r="J182" s="56">
        <f t="shared" si="34"/>
        <v>7.6803759398496236</v>
      </c>
      <c r="K182" s="56">
        <f t="shared" si="34"/>
        <v>1.4299999999999997</v>
      </c>
      <c r="L182" s="56">
        <f t="shared" si="34"/>
        <v>0.75</v>
      </c>
      <c r="M182" s="56">
        <f t="shared" si="34"/>
        <v>626.78917293233076</v>
      </c>
      <c r="N182" s="56">
        <f t="shared" si="34"/>
        <v>592.91609022556383</v>
      </c>
      <c r="O182" s="56">
        <f t="shared" si="34"/>
        <v>101.23278195488722</v>
      </c>
      <c r="P182" s="56">
        <f t="shared" si="34"/>
        <v>2.7100751879699252</v>
      </c>
      <c r="Q182" s="56">
        <f t="shared" si="34"/>
        <v>2.2599999999999998</v>
      </c>
      <c r="R182" s="56">
        <f t="shared" si="34"/>
        <v>0</v>
      </c>
      <c r="S182" s="135"/>
    </row>
    <row r="183" spans="1:38" s="46" customFormat="1" ht="15.75" customHeight="1" x14ac:dyDescent="0.25">
      <c r="A183" s="161"/>
      <c r="B183" s="165" t="s">
        <v>186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98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4"/>
    </row>
    <row r="184" spans="1:38" s="46" customFormat="1" ht="15.75" customHeight="1" x14ac:dyDescent="0.25">
      <c r="A184" s="161"/>
      <c r="B184" s="224" t="s">
        <v>187</v>
      </c>
      <c r="C184" s="65">
        <v>60</v>
      </c>
      <c r="D184" s="65">
        <v>0.42</v>
      </c>
      <c r="E184" s="65">
        <v>0.06</v>
      </c>
      <c r="F184" s="65">
        <v>1.1399999999999999</v>
      </c>
      <c r="G184" s="65">
        <v>6.78</v>
      </c>
      <c r="H184" s="65">
        <v>0.02</v>
      </c>
      <c r="I184" s="65">
        <v>0.01</v>
      </c>
      <c r="J184" s="65">
        <v>2.94</v>
      </c>
      <c r="K184" s="65">
        <v>0</v>
      </c>
      <c r="L184" s="65">
        <v>0</v>
      </c>
      <c r="M184" s="65">
        <v>10.199999999999999</v>
      </c>
      <c r="N184" s="65">
        <v>18</v>
      </c>
      <c r="O184" s="65">
        <v>8.4</v>
      </c>
      <c r="P184" s="65">
        <v>0.3</v>
      </c>
      <c r="Q184" s="65">
        <v>0.12</v>
      </c>
      <c r="R184" s="65">
        <v>0</v>
      </c>
      <c r="S184" s="98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4"/>
    </row>
    <row r="185" spans="1:38" s="46" customFormat="1" ht="15.75" customHeight="1" x14ac:dyDescent="0.25">
      <c r="A185" s="202">
        <v>134</v>
      </c>
      <c r="B185" s="192" t="s">
        <v>209</v>
      </c>
      <c r="C185" s="193">
        <v>250</v>
      </c>
      <c r="D185" s="170">
        <v>1.59</v>
      </c>
      <c r="E185" s="170">
        <v>4.9000000000000004</v>
      </c>
      <c r="F185" s="170">
        <v>9.15</v>
      </c>
      <c r="G185" s="170">
        <f t="shared" ref="G185" si="35">D185*4+E185*9+F185*4</f>
        <v>87.06</v>
      </c>
      <c r="H185" s="170">
        <v>7.0000000000000007E-2</v>
      </c>
      <c r="I185" s="170">
        <v>0.05</v>
      </c>
      <c r="J185" s="170">
        <v>10.38</v>
      </c>
      <c r="K185" s="170">
        <v>0</v>
      </c>
      <c r="L185" s="170">
        <v>0.3</v>
      </c>
      <c r="M185" s="170">
        <v>34.85</v>
      </c>
      <c r="N185" s="170">
        <v>49.28</v>
      </c>
      <c r="O185" s="170">
        <v>20.75</v>
      </c>
      <c r="P185" s="172">
        <v>0.78</v>
      </c>
      <c r="Q185" s="170">
        <v>0.57999999999999996</v>
      </c>
      <c r="R185" s="173">
        <v>0.01</v>
      </c>
      <c r="S185" s="98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4"/>
    </row>
    <row r="186" spans="1:38" s="46" customFormat="1" ht="15.75" customHeight="1" x14ac:dyDescent="0.25">
      <c r="A186" s="202">
        <v>235</v>
      </c>
      <c r="B186" s="192" t="s">
        <v>181</v>
      </c>
      <c r="C186" s="193">
        <v>90</v>
      </c>
      <c r="D186" s="170">
        <v>15.2</v>
      </c>
      <c r="E186" s="170">
        <v>20.8</v>
      </c>
      <c r="F186" s="170">
        <v>11.1</v>
      </c>
      <c r="G186" s="170">
        <v>302.83999999999997</v>
      </c>
      <c r="H186" s="170">
        <v>0.09</v>
      </c>
      <c r="I186" s="170">
        <v>0.18</v>
      </c>
      <c r="J186" s="170">
        <v>0</v>
      </c>
      <c r="K186" s="170">
        <v>0.45</v>
      </c>
      <c r="L186" s="170">
        <v>0.3</v>
      </c>
      <c r="M186" s="170">
        <v>18.329999999999998</v>
      </c>
      <c r="N186" s="170">
        <v>208.98</v>
      </c>
      <c r="O186" s="170">
        <v>32.299999999999997</v>
      </c>
      <c r="P186" s="172">
        <v>3.81</v>
      </c>
      <c r="Q186" s="170">
        <v>1.86</v>
      </c>
      <c r="R186" s="173">
        <v>0.06</v>
      </c>
      <c r="S186" s="98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4"/>
    </row>
    <row r="187" spans="1:38" s="46" customFormat="1" ht="15.75" customHeight="1" x14ac:dyDescent="0.25">
      <c r="A187" s="175">
        <v>302</v>
      </c>
      <c r="B187" s="168" t="s">
        <v>182</v>
      </c>
      <c r="C187" s="176">
        <v>150</v>
      </c>
      <c r="D187" s="55">
        <v>3.2</v>
      </c>
      <c r="E187" s="55">
        <v>5.2</v>
      </c>
      <c r="F187" s="55">
        <v>20.8</v>
      </c>
      <c r="G187" s="171">
        <f>D187*4+E187*9+F187*4</f>
        <v>142.80000000000001</v>
      </c>
      <c r="H187" s="55">
        <v>0.06</v>
      </c>
      <c r="I187" s="55">
        <v>0.02</v>
      </c>
      <c r="J187" s="55">
        <v>0</v>
      </c>
      <c r="K187" s="55">
        <v>0</v>
      </c>
      <c r="L187" s="170">
        <v>0.5</v>
      </c>
      <c r="M187" s="55">
        <v>26.82</v>
      </c>
      <c r="N187" s="55">
        <v>111.2</v>
      </c>
      <c r="O187" s="55">
        <v>15.99</v>
      </c>
      <c r="P187" s="55">
        <v>0.57999999999999996</v>
      </c>
      <c r="Q187" s="55">
        <v>0</v>
      </c>
      <c r="R187" s="173">
        <v>0</v>
      </c>
      <c r="S187" s="98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4"/>
    </row>
    <row r="188" spans="1:38" s="46" customFormat="1" ht="15.75" customHeight="1" x14ac:dyDescent="0.25">
      <c r="A188" s="192"/>
      <c r="B188" s="192" t="s">
        <v>189</v>
      </c>
      <c r="C188" s="193">
        <v>200</v>
      </c>
      <c r="D188" s="181">
        <v>1</v>
      </c>
      <c r="E188" s="181">
        <v>0</v>
      </c>
      <c r="F188" s="181">
        <v>20.200000000000003</v>
      </c>
      <c r="G188" s="171">
        <f t="shared" ref="G188" si="36">D188*4+E188*9+F188*4</f>
        <v>84.800000000000011</v>
      </c>
      <c r="H188" s="55">
        <v>2.2000000000000002E-2</v>
      </c>
      <c r="I188" s="55">
        <v>2.2000000000000002E-2</v>
      </c>
      <c r="J188" s="55">
        <v>4</v>
      </c>
      <c r="K188" s="55">
        <v>0</v>
      </c>
      <c r="L188" s="55">
        <v>0.2</v>
      </c>
      <c r="M188" s="55">
        <v>14</v>
      </c>
      <c r="N188" s="55">
        <v>14</v>
      </c>
      <c r="O188" s="55">
        <v>8</v>
      </c>
      <c r="P188" s="55">
        <v>2.8000000000000003</v>
      </c>
      <c r="Q188" s="55">
        <v>0</v>
      </c>
      <c r="R188" s="173">
        <v>0</v>
      </c>
      <c r="S188" s="98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4"/>
    </row>
    <row r="189" spans="1:38" s="46" customFormat="1" ht="15.75" customHeight="1" x14ac:dyDescent="0.25">
      <c r="A189" s="168"/>
      <c r="B189" s="168" t="s">
        <v>160</v>
      </c>
      <c r="C189" s="169">
        <v>40</v>
      </c>
      <c r="D189" s="195">
        <v>2.7</v>
      </c>
      <c r="E189" s="195">
        <v>0.34</v>
      </c>
      <c r="F189" s="195">
        <v>20.059999999999999</v>
      </c>
      <c r="G189" s="195">
        <v>94.1</v>
      </c>
      <c r="H189" s="195">
        <v>0.04</v>
      </c>
      <c r="I189" s="195">
        <v>0.01</v>
      </c>
      <c r="J189" s="195">
        <v>0</v>
      </c>
      <c r="K189" s="195">
        <v>0</v>
      </c>
      <c r="L189" s="195">
        <v>0.44</v>
      </c>
      <c r="M189" s="195">
        <v>8</v>
      </c>
      <c r="N189" s="195">
        <v>26</v>
      </c>
      <c r="O189" s="195">
        <v>5.6</v>
      </c>
      <c r="P189" s="195">
        <v>0.44</v>
      </c>
      <c r="Q189" s="195">
        <v>0</v>
      </c>
      <c r="R189" s="173">
        <v>0</v>
      </c>
      <c r="S189" s="98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4"/>
    </row>
    <row r="190" spans="1:38" s="46" customFormat="1" ht="15.75" customHeight="1" x14ac:dyDescent="0.25">
      <c r="A190" s="168"/>
      <c r="B190" s="168" t="s">
        <v>124</v>
      </c>
      <c r="C190" s="169">
        <v>20</v>
      </c>
      <c r="D190" s="171">
        <v>1.33</v>
      </c>
      <c r="E190" s="171">
        <v>0.24</v>
      </c>
      <c r="F190" s="171">
        <v>8.3699999999999992</v>
      </c>
      <c r="G190" s="46">
        <f t="shared" ref="G190:G191" si="37">D190*4+E190*9+F190*4</f>
        <v>40.959999999999994</v>
      </c>
      <c r="H190" s="171">
        <v>0.11</v>
      </c>
      <c r="I190" s="171">
        <v>7.0000000000000007E-2</v>
      </c>
      <c r="J190" s="171">
        <v>0.14000000000000001</v>
      </c>
      <c r="K190" s="171">
        <v>0</v>
      </c>
      <c r="L190" s="171">
        <v>0.11</v>
      </c>
      <c r="M190" s="171">
        <v>25.55</v>
      </c>
      <c r="N190" s="171">
        <v>43.75</v>
      </c>
      <c r="O190" s="171">
        <v>14</v>
      </c>
      <c r="P190" s="174">
        <v>0.98</v>
      </c>
      <c r="Q190" s="171">
        <v>0</v>
      </c>
      <c r="R190" s="173">
        <v>0.02</v>
      </c>
      <c r="S190" s="98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4"/>
    </row>
    <row r="191" spans="1:38" s="46" customFormat="1" ht="15.75" customHeight="1" x14ac:dyDescent="0.25">
      <c r="A191" s="168">
        <v>685</v>
      </c>
      <c r="B191" s="168" t="s">
        <v>192</v>
      </c>
      <c r="C191" s="169">
        <v>180</v>
      </c>
      <c r="D191" s="170">
        <v>4.37</v>
      </c>
      <c r="E191" s="170">
        <f>2.7*1.8</f>
        <v>4.8600000000000003</v>
      </c>
      <c r="F191" s="170">
        <v>7.1749999999999998</v>
      </c>
      <c r="G191" s="170">
        <f t="shared" si="37"/>
        <v>89.92</v>
      </c>
      <c r="H191" s="170">
        <v>3.5000000000000003E-2</v>
      </c>
      <c r="I191" s="170">
        <v>0.245</v>
      </c>
      <c r="J191" s="170">
        <v>0.52</v>
      </c>
      <c r="K191" s="170">
        <v>0.35</v>
      </c>
      <c r="L191" s="170">
        <v>0</v>
      </c>
      <c r="M191" s="170">
        <v>217</v>
      </c>
      <c r="N191" s="170">
        <v>57.96</v>
      </c>
      <c r="O191" s="170">
        <v>24.5</v>
      </c>
      <c r="P191" s="170">
        <v>0.17499999999999999</v>
      </c>
      <c r="Q191" s="170">
        <v>0.7</v>
      </c>
      <c r="R191" s="173">
        <v>0</v>
      </c>
      <c r="S191" s="98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4"/>
    </row>
    <row r="192" spans="1:38" s="46" customFormat="1" ht="15.75" customHeight="1" x14ac:dyDescent="0.25">
      <c r="A192" s="187"/>
      <c r="B192" s="213" t="s">
        <v>21</v>
      </c>
      <c r="C192" s="188">
        <v>990</v>
      </c>
      <c r="D192" s="188">
        <v>29.81</v>
      </c>
      <c r="E192" s="188">
        <v>36.4</v>
      </c>
      <c r="F192" s="188">
        <v>98</v>
      </c>
      <c r="G192" s="188">
        <v>849.26</v>
      </c>
      <c r="H192" s="188">
        <v>0.45</v>
      </c>
      <c r="I192" s="188">
        <v>0.61</v>
      </c>
      <c r="J192" s="188">
        <v>17.98</v>
      </c>
      <c r="K192" s="188">
        <v>0.8</v>
      </c>
      <c r="L192" s="188">
        <v>1.85</v>
      </c>
      <c r="M192" s="188">
        <v>354.75</v>
      </c>
      <c r="N192" s="188">
        <v>529.16999999999996</v>
      </c>
      <c r="O192" s="188">
        <v>129.54</v>
      </c>
      <c r="P192" s="188">
        <v>9.8699999999999992</v>
      </c>
      <c r="Q192" s="188">
        <v>3.26</v>
      </c>
      <c r="R192" s="188">
        <v>0.09</v>
      </c>
      <c r="S192" s="98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4"/>
    </row>
    <row r="193" spans="1:38" s="46" customFormat="1" ht="15.75" customHeight="1" x14ac:dyDescent="0.25">
      <c r="A193" s="161"/>
      <c r="B193" s="185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98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4"/>
    </row>
    <row r="194" spans="1:38" s="66" customFormat="1" ht="15.75" customHeight="1" x14ac:dyDescent="0.25">
      <c r="A194" s="235" t="s">
        <v>114</v>
      </c>
      <c r="B194" s="236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13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3"/>
    </row>
    <row r="195" spans="1:38" s="46" customFormat="1" ht="15.75" customHeight="1" x14ac:dyDescent="0.25">
      <c r="A195" s="211"/>
      <c r="B195" s="165" t="s">
        <v>195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98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4"/>
    </row>
    <row r="196" spans="1:38" ht="15.75" customHeight="1" x14ac:dyDescent="0.25">
      <c r="A196" s="85"/>
      <c r="B196" s="51" t="s">
        <v>191</v>
      </c>
      <c r="C196" s="51">
        <v>60</v>
      </c>
      <c r="D196" s="52">
        <v>0.48719999999999997</v>
      </c>
      <c r="E196" s="52">
        <v>6.9599999999999995E-2</v>
      </c>
      <c r="F196" s="52">
        <v>1.3223999999999998</v>
      </c>
      <c r="G196" s="52">
        <f>F196*4+E196*9+D196*4</f>
        <v>7.8647999999999989</v>
      </c>
      <c r="H196" s="52">
        <v>2.3199999999999998E-2</v>
      </c>
      <c r="I196" s="52">
        <v>1.1599999999999999E-2</v>
      </c>
      <c r="J196" s="52">
        <v>3.4103999999999997</v>
      </c>
      <c r="K196" s="52">
        <v>0</v>
      </c>
      <c r="L196" s="52">
        <v>6.9599999999999995E-2</v>
      </c>
      <c r="M196" s="52">
        <v>11.831999999999999</v>
      </c>
      <c r="N196" s="52">
        <v>20.88</v>
      </c>
      <c r="O196" s="52">
        <v>9.7439999999999998</v>
      </c>
      <c r="P196" s="52">
        <v>0.34799999999999998</v>
      </c>
      <c r="Q196" s="52">
        <v>0.11899999999999999</v>
      </c>
      <c r="R196" s="52">
        <v>0</v>
      </c>
      <c r="S196" s="135"/>
    </row>
    <row r="197" spans="1:38" s="52" customFormat="1" ht="15.75" customHeight="1" x14ac:dyDescent="0.25">
      <c r="A197" s="85"/>
      <c r="B197" s="51" t="s">
        <v>87</v>
      </c>
      <c r="C197" s="51">
        <v>90</v>
      </c>
      <c r="D197" s="52">
        <v>6.86</v>
      </c>
      <c r="E197" s="52">
        <v>10.24</v>
      </c>
      <c r="F197" s="52">
        <v>4.05</v>
      </c>
      <c r="G197" s="52">
        <f t="shared" ref="G197:G202" si="38">F197*4+E197*9+D197*4</f>
        <v>135.80000000000001</v>
      </c>
      <c r="H197" s="52">
        <v>0.02</v>
      </c>
      <c r="I197" s="52">
        <v>0.06</v>
      </c>
      <c r="J197" s="52">
        <v>0.51</v>
      </c>
      <c r="K197" s="52">
        <v>0.39</v>
      </c>
      <c r="L197" s="52">
        <v>2.4049999999999998</v>
      </c>
      <c r="M197" s="52">
        <v>24.21</v>
      </c>
      <c r="N197" s="52">
        <v>53.55</v>
      </c>
      <c r="O197" s="52">
        <v>7.21</v>
      </c>
      <c r="P197" s="52">
        <v>0.56999999999999995</v>
      </c>
      <c r="Q197" s="52">
        <v>1.99</v>
      </c>
      <c r="R197" s="52">
        <v>0.02</v>
      </c>
      <c r="S197" s="13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0"/>
    </row>
    <row r="198" spans="1:38" s="52" customFormat="1" ht="15.75" customHeight="1" x14ac:dyDescent="0.25">
      <c r="A198" s="90">
        <v>516</v>
      </c>
      <c r="B198" s="60" t="s">
        <v>36</v>
      </c>
      <c r="C198" s="60">
        <v>150</v>
      </c>
      <c r="D198" s="55">
        <v>4.1399999999999997</v>
      </c>
      <c r="E198" s="55">
        <v>5</v>
      </c>
      <c r="F198" s="55">
        <v>23.4</v>
      </c>
      <c r="G198" s="52">
        <f t="shared" si="38"/>
        <v>155.16</v>
      </c>
      <c r="H198" s="55">
        <v>0.04</v>
      </c>
      <c r="I198" s="55">
        <v>8.0000000000000002E-3</v>
      </c>
      <c r="J198" s="55">
        <v>0</v>
      </c>
      <c r="K198" s="55">
        <v>0</v>
      </c>
      <c r="L198" s="55">
        <v>0.56999999999999995</v>
      </c>
      <c r="M198" s="55">
        <v>8.1999999999999993</v>
      </c>
      <c r="N198" s="55">
        <v>27.2</v>
      </c>
      <c r="O198" s="55">
        <v>6.32</v>
      </c>
      <c r="P198" s="55">
        <v>0.62</v>
      </c>
      <c r="Q198" s="52">
        <v>0</v>
      </c>
      <c r="R198" s="52">
        <v>0</v>
      </c>
      <c r="S198" s="13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0"/>
    </row>
    <row r="199" spans="1:38" s="52" customFormat="1" ht="15.75" customHeight="1" x14ac:dyDescent="0.25">
      <c r="A199" s="85">
        <v>692</v>
      </c>
      <c r="B199" s="51" t="s">
        <v>66</v>
      </c>
      <c r="C199" s="51">
        <v>200</v>
      </c>
      <c r="D199" s="52">
        <v>2.9</v>
      </c>
      <c r="E199" s="52">
        <v>2.5</v>
      </c>
      <c r="F199" s="52">
        <v>14.7</v>
      </c>
      <c r="G199" s="52">
        <f t="shared" si="38"/>
        <v>92.899999999999991</v>
      </c>
      <c r="H199" s="52">
        <v>0.02</v>
      </c>
      <c r="I199" s="52">
        <v>0.13</v>
      </c>
      <c r="J199" s="52">
        <v>0.6</v>
      </c>
      <c r="K199" s="52">
        <v>0.1</v>
      </c>
      <c r="L199" s="52">
        <v>0.1</v>
      </c>
      <c r="M199" s="52">
        <v>120.3</v>
      </c>
      <c r="N199" s="52">
        <v>90</v>
      </c>
      <c r="O199" s="52">
        <v>14</v>
      </c>
      <c r="P199" s="52">
        <v>0.13</v>
      </c>
      <c r="Q199" s="52">
        <v>0.4</v>
      </c>
      <c r="R199" s="52">
        <v>0</v>
      </c>
      <c r="S199" s="13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0"/>
    </row>
    <row r="200" spans="1:38" s="52" customFormat="1" ht="15.75" customHeight="1" x14ac:dyDescent="0.25">
      <c r="A200" s="85"/>
      <c r="B200" s="51" t="s">
        <v>124</v>
      </c>
      <c r="C200" s="51">
        <v>25</v>
      </c>
      <c r="D200" s="52">
        <v>1.6625000000000001</v>
      </c>
      <c r="E200" s="52">
        <v>0.3</v>
      </c>
      <c r="F200" s="52">
        <v>10.462499999999999</v>
      </c>
      <c r="G200" s="52">
        <f t="shared" si="38"/>
        <v>51.199999999999996</v>
      </c>
      <c r="H200" s="52">
        <v>0.13124999999999998</v>
      </c>
      <c r="I200" s="52">
        <v>8.7499999999999981E-2</v>
      </c>
      <c r="J200" s="52">
        <v>0.17499999999999996</v>
      </c>
      <c r="K200" s="52">
        <v>0</v>
      </c>
      <c r="L200" s="52">
        <v>0.13124999999999998</v>
      </c>
      <c r="M200" s="52">
        <v>31.937499999999996</v>
      </c>
      <c r="N200" s="52">
        <v>54.6875</v>
      </c>
      <c r="O200" s="52">
        <v>17.5</v>
      </c>
      <c r="P200" s="52">
        <v>1.2249999999999999</v>
      </c>
      <c r="Q200" s="52">
        <v>0.3</v>
      </c>
      <c r="R200" s="52">
        <v>0.02</v>
      </c>
      <c r="S200" s="13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0"/>
    </row>
    <row r="201" spans="1:38" s="52" customFormat="1" ht="15.75" customHeight="1" x14ac:dyDescent="0.25">
      <c r="A201" s="91"/>
      <c r="B201" s="51" t="s">
        <v>4</v>
      </c>
      <c r="C201" s="51">
        <v>40</v>
      </c>
      <c r="D201" s="52">
        <f>1.35*2</f>
        <v>2.7</v>
      </c>
      <c r="E201" s="52">
        <f>0.172*2</f>
        <v>0.34399999999999997</v>
      </c>
      <c r="F201" s="52">
        <f>10.03*2</f>
        <v>20.059999999999999</v>
      </c>
      <c r="G201" s="52">
        <f t="shared" si="38"/>
        <v>94.135999999999996</v>
      </c>
      <c r="H201" s="52">
        <v>2.4E-2</v>
      </c>
      <c r="I201" s="52">
        <v>5.0000000000000001E-3</v>
      </c>
      <c r="J201" s="52">
        <v>0</v>
      </c>
      <c r="K201" s="52">
        <v>0</v>
      </c>
      <c r="L201" s="52">
        <v>0.42</v>
      </c>
      <c r="M201" s="52">
        <v>8</v>
      </c>
      <c r="N201" s="52">
        <v>26</v>
      </c>
      <c r="O201" s="52">
        <v>5.6</v>
      </c>
      <c r="P201" s="52">
        <v>0.4</v>
      </c>
      <c r="Q201" s="52">
        <v>0.3</v>
      </c>
      <c r="R201" s="52">
        <v>0</v>
      </c>
      <c r="S201" s="13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0"/>
    </row>
    <row r="202" spans="1:38" s="52" customFormat="1" ht="15.75" customHeight="1" x14ac:dyDescent="0.25">
      <c r="A202" s="85"/>
      <c r="B202" s="51" t="s">
        <v>194</v>
      </c>
      <c r="C202" s="51">
        <v>100</v>
      </c>
      <c r="D202" s="55">
        <f>0.9*1.2</f>
        <v>1.08</v>
      </c>
      <c r="E202" s="55">
        <f>0.1*1.2</f>
        <v>0.12</v>
      </c>
      <c r="F202" s="55">
        <f>9.5*1.2</f>
        <v>11.4</v>
      </c>
      <c r="G202" s="52">
        <f t="shared" si="38"/>
        <v>51</v>
      </c>
      <c r="H202" s="55">
        <v>0.04</v>
      </c>
      <c r="I202" s="55">
        <v>0.01</v>
      </c>
      <c r="J202" s="55">
        <v>5</v>
      </c>
      <c r="K202" s="55">
        <v>0</v>
      </c>
      <c r="L202" s="55">
        <v>0.33</v>
      </c>
      <c r="M202" s="55">
        <v>25</v>
      </c>
      <c r="N202" s="55">
        <v>18.3</v>
      </c>
      <c r="O202" s="55">
        <v>14.16</v>
      </c>
      <c r="P202" s="55">
        <v>0.5</v>
      </c>
      <c r="Q202" s="52">
        <v>0.48</v>
      </c>
      <c r="R202" s="52">
        <v>1.0000000000000001E-5</v>
      </c>
      <c r="S202" s="13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0"/>
    </row>
    <row r="203" spans="1:38" s="66" customFormat="1" ht="15.75" customHeight="1" x14ac:dyDescent="0.25">
      <c r="A203" s="88"/>
      <c r="B203" s="214" t="s">
        <v>21</v>
      </c>
      <c r="C203" s="56">
        <f t="shared" ref="C203:R203" si="39">SUM(C196:C202)</f>
        <v>665</v>
      </c>
      <c r="D203" s="56">
        <f t="shared" si="39"/>
        <v>19.829700000000003</v>
      </c>
      <c r="E203" s="56">
        <f t="shared" si="39"/>
        <v>18.573600000000003</v>
      </c>
      <c r="F203" s="56">
        <f t="shared" si="39"/>
        <v>85.394899999999993</v>
      </c>
      <c r="G203" s="56">
        <f t="shared" si="39"/>
        <v>588.06079999999997</v>
      </c>
      <c r="H203" s="56">
        <f t="shared" si="39"/>
        <v>0.29844999999999999</v>
      </c>
      <c r="I203" s="56">
        <f t="shared" si="39"/>
        <v>0.31209999999999999</v>
      </c>
      <c r="J203" s="56">
        <f t="shared" si="39"/>
        <v>9.6953999999999994</v>
      </c>
      <c r="K203" s="56">
        <f t="shared" si="39"/>
        <v>0.49</v>
      </c>
      <c r="L203" s="56">
        <f t="shared" si="39"/>
        <v>4.0258499999999993</v>
      </c>
      <c r="M203" s="56">
        <f t="shared" si="39"/>
        <v>229.4795</v>
      </c>
      <c r="N203" s="56">
        <f t="shared" si="39"/>
        <v>290.61750000000001</v>
      </c>
      <c r="O203" s="56">
        <f t="shared" si="39"/>
        <v>74.534000000000006</v>
      </c>
      <c r="P203" s="56">
        <f t="shared" si="39"/>
        <v>3.7929999999999997</v>
      </c>
      <c r="Q203" s="56">
        <f t="shared" si="39"/>
        <v>3.5889999999999995</v>
      </c>
      <c r="R203" s="56">
        <f t="shared" si="39"/>
        <v>4.0010000000000004E-2</v>
      </c>
      <c r="S203" s="13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3"/>
    </row>
    <row r="204" spans="1:38" s="46" customFormat="1" ht="15.75" customHeight="1" x14ac:dyDescent="0.25">
      <c r="A204" s="161"/>
      <c r="B204" s="211" t="s">
        <v>186</v>
      </c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98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4"/>
    </row>
    <row r="205" spans="1:38" s="46" customFormat="1" ht="15.75" customHeight="1" x14ac:dyDescent="0.25">
      <c r="A205" s="87"/>
      <c r="B205" s="230" t="s">
        <v>191</v>
      </c>
      <c r="C205" s="65">
        <v>60</v>
      </c>
      <c r="D205" s="65">
        <v>0.49</v>
      </c>
      <c r="E205" s="65">
        <v>7.0000000000000007E-2</v>
      </c>
      <c r="F205" s="65">
        <v>1.32</v>
      </c>
      <c r="G205" s="65">
        <v>7.86</v>
      </c>
      <c r="H205" s="65">
        <v>0.02</v>
      </c>
      <c r="I205" s="65">
        <v>0.01</v>
      </c>
      <c r="J205" s="65">
        <v>3.41</v>
      </c>
      <c r="K205" s="65">
        <v>0</v>
      </c>
      <c r="L205" s="65">
        <v>7.0000000000000007E-2</v>
      </c>
      <c r="M205" s="65">
        <v>11.83</v>
      </c>
      <c r="N205" s="65">
        <v>20.88</v>
      </c>
      <c r="O205" s="65">
        <v>9.74</v>
      </c>
      <c r="P205" s="65">
        <v>0.35</v>
      </c>
      <c r="Q205" s="65">
        <v>0.12</v>
      </c>
      <c r="R205" s="65">
        <v>0</v>
      </c>
      <c r="S205" s="98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4"/>
    </row>
    <row r="206" spans="1:38" s="46" customFormat="1" ht="15.75" customHeight="1" x14ac:dyDescent="0.25">
      <c r="A206" s="201">
        <v>110</v>
      </c>
      <c r="B206" s="194" t="s">
        <v>183</v>
      </c>
      <c r="C206" s="176">
        <v>250</v>
      </c>
      <c r="D206" s="46">
        <v>1.8</v>
      </c>
      <c r="E206" s="46">
        <v>4.92</v>
      </c>
      <c r="F206" s="46">
        <v>10.93</v>
      </c>
      <c r="G206" s="46">
        <f t="shared" ref="G206:G213" si="40">D206*4+E206*9+F206*4</f>
        <v>95.2</v>
      </c>
      <c r="H206" s="46">
        <v>0.05</v>
      </c>
      <c r="I206" s="46">
        <v>0.05</v>
      </c>
      <c r="J206" s="46">
        <v>10.68</v>
      </c>
      <c r="K206" s="46">
        <v>0</v>
      </c>
      <c r="L206" s="46">
        <v>0.5</v>
      </c>
      <c r="M206" s="46">
        <v>49.73</v>
      </c>
      <c r="N206" s="46">
        <v>54.6</v>
      </c>
      <c r="O206" s="46">
        <v>26.13</v>
      </c>
      <c r="P206" s="98">
        <v>1.23</v>
      </c>
      <c r="Q206" s="46">
        <v>0.74</v>
      </c>
      <c r="R206" s="173">
        <v>7.0000000000000007E-2</v>
      </c>
      <c r="S206" s="98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4"/>
    </row>
    <row r="207" spans="1:38" s="46" customFormat="1" ht="15.75" customHeight="1" x14ac:dyDescent="0.25">
      <c r="A207" s="168" t="s">
        <v>211</v>
      </c>
      <c r="B207" s="168" t="s">
        <v>210</v>
      </c>
      <c r="C207" s="168">
        <v>90</v>
      </c>
      <c r="D207" s="46">
        <v>12.5</v>
      </c>
      <c r="E207" s="46">
        <v>6.4</v>
      </c>
      <c r="F207" s="46">
        <v>1.3</v>
      </c>
      <c r="G207" s="46">
        <f t="shared" si="40"/>
        <v>112.8</v>
      </c>
      <c r="H207" s="46">
        <v>2.7E-2</v>
      </c>
      <c r="I207" s="46">
        <v>4.5999999999999999E-2</v>
      </c>
      <c r="J207" s="46">
        <v>1.1299999999999999</v>
      </c>
      <c r="K207" s="46">
        <v>0.3</v>
      </c>
      <c r="L207" s="46">
        <v>0.5</v>
      </c>
      <c r="M207" s="46">
        <v>74.63</v>
      </c>
      <c r="N207" s="46">
        <v>89</v>
      </c>
      <c r="O207" s="46">
        <v>26.85</v>
      </c>
      <c r="P207" s="98">
        <v>0.53</v>
      </c>
      <c r="Q207" s="46">
        <v>0.67</v>
      </c>
      <c r="R207" s="173">
        <v>0</v>
      </c>
      <c r="S207" s="98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4"/>
    </row>
    <row r="208" spans="1:38" s="46" customFormat="1" ht="15.75" customHeight="1" x14ac:dyDescent="0.25">
      <c r="A208" s="175">
        <v>520</v>
      </c>
      <c r="B208" s="194" t="s">
        <v>212</v>
      </c>
      <c r="C208" s="194">
        <v>125</v>
      </c>
      <c r="D208" s="55">
        <v>4.3099999999999996</v>
      </c>
      <c r="E208" s="55">
        <v>4.99</v>
      </c>
      <c r="F208" s="55">
        <v>23.77</v>
      </c>
      <c r="G208" s="46">
        <f t="shared" si="40"/>
        <v>157.23000000000002</v>
      </c>
      <c r="H208" s="55">
        <v>0.06</v>
      </c>
      <c r="I208" s="55">
        <v>0.03</v>
      </c>
      <c r="J208" s="55">
        <v>2.2599999999999998</v>
      </c>
      <c r="K208" s="55">
        <v>0</v>
      </c>
      <c r="L208" s="46">
        <v>0.05</v>
      </c>
      <c r="M208" s="55">
        <v>16.18</v>
      </c>
      <c r="N208" s="55">
        <v>42.4</v>
      </c>
      <c r="O208" s="55">
        <v>14.45</v>
      </c>
      <c r="P208" s="55">
        <v>0.86</v>
      </c>
      <c r="Q208" s="55">
        <v>0.95</v>
      </c>
      <c r="R208" s="173">
        <v>0</v>
      </c>
      <c r="S208" s="98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4"/>
    </row>
    <row r="209" spans="1:38" s="46" customFormat="1" ht="15.75" customHeight="1" x14ac:dyDescent="0.25">
      <c r="A209" s="177">
        <v>639</v>
      </c>
      <c r="B209" s="168" t="s">
        <v>163</v>
      </c>
      <c r="C209" s="169">
        <v>200</v>
      </c>
      <c r="D209" s="46">
        <v>7.0000000000000007E-2</v>
      </c>
      <c r="E209" s="46">
        <v>0.02</v>
      </c>
      <c r="F209" s="46">
        <v>10.06</v>
      </c>
      <c r="G209" s="46">
        <f t="shared" si="40"/>
        <v>40.700000000000003</v>
      </c>
      <c r="H209" s="46">
        <v>0</v>
      </c>
      <c r="I209" s="46">
        <v>0</v>
      </c>
      <c r="J209" s="46">
        <v>0.03</v>
      </c>
      <c r="K209" s="46">
        <v>0</v>
      </c>
      <c r="L209" s="46">
        <v>0</v>
      </c>
      <c r="M209" s="46">
        <v>11.1</v>
      </c>
      <c r="N209" s="46">
        <v>2.8</v>
      </c>
      <c r="O209" s="46">
        <v>1.4</v>
      </c>
      <c r="P209" s="98">
        <v>0.28000000000000003</v>
      </c>
      <c r="Q209" s="46">
        <v>0</v>
      </c>
      <c r="R209" s="173">
        <v>0</v>
      </c>
      <c r="S209" s="98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4"/>
    </row>
    <row r="210" spans="1:38" s="46" customFormat="1" ht="15.75" customHeight="1" x14ac:dyDescent="0.25">
      <c r="A210" s="175"/>
      <c r="B210" s="168" t="s">
        <v>160</v>
      </c>
      <c r="C210" s="176">
        <v>60</v>
      </c>
      <c r="D210" s="195">
        <v>4.05</v>
      </c>
      <c r="E210" s="195">
        <v>0.51</v>
      </c>
      <c r="F210" s="195">
        <v>30.09</v>
      </c>
      <c r="G210" s="46">
        <f t="shared" si="40"/>
        <v>141.15</v>
      </c>
      <c r="H210" s="195">
        <v>0.06</v>
      </c>
      <c r="I210" s="195">
        <v>1.4999999999999999E-2</v>
      </c>
      <c r="J210" s="195">
        <v>0</v>
      </c>
      <c r="K210" s="195">
        <v>0</v>
      </c>
      <c r="L210" s="195">
        <v>0.66</v>
      </c>
      <c r="M210" s="195">
        <v>12</v>
      </c>
      <c r="N210" s="195">
        <v>39</v>
      </c>
      <c r="O210" s="195">
        <v>8.4</v>
      </c>
      <c r="P210" s="195">
        <v>0.66</v>
      </c>
      <c r="Q210" s="195">
        <v>0</v>
      </c>
      <c r="R210" s="173">
        <v>0</v>
      </c>
      <c r="S210" s="98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4"/>
    </row>
    <row r="211" spans="1:38" s="46" customFormat="1" ht="15.75" customHeight="1" x14ac:dyDescent="0.25">
      <c r="A211" s="206"/>
      <c r="B211" s="168" t="s">
        <v>184</v>
      </c>
      <c r="C211" s="169">
        <v>20</v>
      </c>
      <c r="D211" s="171">
        <v>1.33</v>
      </c>
      <c r="E211" s="171">
        <v>0.24</v>
      </c>
      <c r="F211" s="171">
        <v>8.3699999999999992</v>
      </c>
      <c r="G211" s="46">
        <f t="shared" si="40"/>
        <v>40.959999999999994</v>
      </c>
      <c r="H211" s="171">
        <v>0.11</v>
      </c>
      <c r="I211" s="171">
        <v>7.0000000000000007E-2</v>
      </c>
      <c r="J211" s="171">
        <v>0.14000000000000001</v>
      </c>
      <c r="K211" s="171">
        <v>0</v>
      </c>
      <c r="L211" s="171">
        <v>0.11</v>
      </c>
      <c r="M211" s="171">
        <v>25.55</v>
      </c>
      <c r="N211" s="171">
        <v>43.75</v>
      </c>
      <c r="O211" s="171">
        <v>14</v>
      </c>
      <c r="P211" s="174">
        <v>0.98</v>
      </c>
      <c r="Q211" s="171">
        <v>0</v>
      </c>
      <c r="R211" s="173">
        <v>0.2</v>
      </c>
      <c r="S211" s="98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4"/>
    </row>
    <row r="212" spans="1:38" s="46" customFormat="1" ht="15.75" customHeight="1" x14ac:dyDescent="0.25">
      <c r="A212" s="206"/>
      <c r="B212" s="168" t="s">
        <v>213</v>
      </c>
      <c r="C212" s="169">
        <v>35</v>
      </c>
      <c r="D212" s="46">
        <f>6.8*0.32</f>
        <v>2.1760000000000002</v>
      </c>
      <c r="E212" s="46">
        <f>32.4*0.35</f>
        <v>11.339999999999998</v>
      </c>
      <c r="F212" s="46">
        <f>65.6*0.35</f>
        <v>22.959999999999997</v>
      </c>
      <c r="G212" s="46">
        <f t="shared" si="40"/>
        <v>202.60399999999998</v>
      </c>
      <c r="H212" s="46">
        <v>0.04</v>
      </c>
      <c r="I212" s="46">
        <v>0.06</v>
      </c>
      <c r="J212" s="46">
        <v>0</v>
      </c>
      <c r="K212" s="46">
        <v>0.2797</v>
      </c>
      <c r="L212" s="46">
        <f>7.7*0.45</f>
        <v>3.4650000000000003</v>
      </c>
      <c r="M212" s="46">
        <v>10.14</v>
      </c>
      <c r="N212" s="46">
        <v>37.590000000000003</v>
      </c>
      <c r="O212" s="46">
        <v>7.69</v>
      </c>
      <c r="P212" s="98">
        <v>0.64</v>
      </c>
      <c r="Q212" s="46">
        <v>0</v>
      </c>
      <c r="R212" s="173">
        <v>0</v>
      </c>
      <c r="S212" s="98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4"/>
    </row>
    <row r="213" spans="1:38" s="46" customFormat="1" ht="15.75" customHeight="1" x14ac:dyDescent="0.25">
      <c r="A213" s="168"/>
      <c r="B213" s="168" t="s">
        <v>164</v>
      </c>
      <c r="C213" s="169">
        <v>200</v>
      </c>
      <c r="D213" s="195">
        <f>2.5*2</f>
        <v>5</v>
      </c>
      <c r="E213" s="195">
        <f>2.5*2</f>
        <v>5</v>
      </c>
      <c r="F213" s="195">
        <f>8*0.75</f>
        <v>6</v>
      </c>
      <c r="G213" s="46">
        <f t="shared" si="40"/>
        <v>89</v>
      </c>
      <c r="H213" s="195">
        <v>0.08</v>
      </c>
      <c r="I213" s="195">
        <v>0.3</v>
      </c>
      <c r="J213" s="195">
        <v>2.6</v>
      </c>
      <c r="K213" s="195">
        <v>0.4</v>
      </c>
      <c r="L213" s="195">
        <v>0</v>
      </c>
      <c r="M213" s="195">
        <v>240</v>
      </c>
      <c r="N213" s="195">
        <v>180</v>
      </c>
      <c r="O213" s="195">
        <v>28</v>
      </c>
      <c r="P213" s="195">
        <v>0.2</v>
      </c>
      <c r="Q213" s="195">
        <v>0</v>
      </c>
      <c r="R213" s="173">
        <v>0</v>
      </c>
      <c r="S213" s="98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4"/>
    </row>
    <row r="214" spans="1:38" s="46" customFormat="1" ht="15.75" customHeight="1" x14ac:dyDescent="0.25">
      <c r="A214" s="210"/>
      <c r="B214" s="213" t="s">
        <v>21</v>
      </c>
      <c r="C214" s="188">
        <v>1040</v>
      </c>
      <c r="D214" s="184">
        <f t="shared" ref="D214:F214" si="41">SUM(D206:D213)</f>
        <v>31.236000000000004</v>
      </c>
      <c r="E214" s="184">
        <f t="shared" si="41"/>
        <v>33.42</v>
      </c>
      <c r="F214" s="184">
        <f t="shared" si="41"/>
        <v>113.48</v>
      </c>
      <c r="G214" s="184">
        <v>888.1</v>
      </c>
      <c r="H214" s="184">
        <v>0.45</v>
      </c>
      <c r="I214" s="184">
        <v>0.59</v>
      </c>
      <c r="J214" s="184">
        <v>20.25</v>
      </c>
      <c r="K214" s="184">
        <v>0.98</v>
      </c>
      <c r="L214" s="184">
        <v>5.36</v>
      </c>
      <c r="M214" s="184">
        <v>451.16</v>
      </c>
      <c r="N214" s="184">
        <v>508.02</v>
      </c>
      <c r="O214" s="184">
        <v>136.61000000000001</v>
      </c>
      <c r="P214" s="184">
        <v>5.73</v>
      </c>
      <c r="Q214" s="184">
        <v>2.48</v>
      </c>
      <c r="R214" s="184">
        <v>0.27</v>
      </c>
      <c r="S214" s="98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4"/>
    </row>
    <row r="215" spans="1:38" ht="17.25" customHeight="1" x14ac:dyDescent="0.25">
      <c r="B215" s="57"/>
      <c r="C215" s="57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135"/>
    </row>
    <row r="216" spans="1:38" s="46" customFormat="1" ht="15.75" customHeight="1" x14ac:dyDescent="0.25">
      <c r="A216" s="84"/>
      <c r="B216" s="47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S216" s="13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4"/>
    </row>
    <row r="217" spans="1:38" ht="15.75" customHeight="1" x14ac:dyDescent="0.25">
      <c r="A217" s="95"/>
      <c r="B217" s="66"/>
      <c r="D217" s="234" t="s">
        <v>146</v>
      </c>
      <c r="E217" s="234"/>
      <c r="F217" s="234"/>
      <c r="G217" s="231" t="s">
        <v>147</v>
      </c>
      <c r="H217" s="233" t="s">
        <v>148</v>
      </c>
      <c r="I217" s="233"/>
      <c r="J217" s="233"/>
      <c r="K217" s="233"/>
      <c r="L217" s="233"/>
      <c r="M217" s="233" t="s">
        <v>145</v>
      </c>
      <c r="N217" s="233"/>
      <c r="O217" s="233"/>
      <c r="P217" s="233"/>
      <c r="Q217" s="160"/>
      <c r="R217" s="84"/>
      <c r="S217" s="98"/>
    </row>
    <row r="218" spans="1:38" s="46" customFormat="1" ht="43.5" customHeight="1" x14ac:dyDescent="0.25">
      <c r="A218" s="95"/>
      <c r="D218" s="96" t="s">
        <v>0</v>
      </c>
      <c r="E218" s="96" t="s">
        <v>1</v>
      </c>
      <c r="F218" s="96" t="s">
        <v>2</v>
      </c>
      <c r="G218" s="232"/>
      <c r="H218" s="160" t="s">
        <v>41</v>
      </c>
      <c r="I218" s="160" t="s">
        <v>45</v>
      </c>
      <c r="J218" s="160" t="s">
        <v>42</v>
      </c>
      <c r="K218" s="160" t="s">
        <v>43</v>
      </c>
      <c r="L218" s="160" t="s">
        <v>44</v>
      </c>
      <c r="M218" s="96" t="s">
        <v>46</v>
      </c>
      <c r="N218" s="96" t="s">
        <v>47</v>
      </c>
      <c r="O218" s="96" t="s">
        <v>48</v>
      </c>
      <c r="P218" s="96" t="s">
        <v>49</v>
      </c>
      <c r="Q218" s="96" t="s">
        <v>98</v>
      </c>
      <c r="R218" s="96" t="s">
        <v>97</v>
      </c>
      <c r="S218" s="138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4"/>
    </row>
    <row r="219" spans="1:38" s="52" customFormat="1" ht="15.75" customHeight="1" x14ac:dyDescent="0.25">
      <c r="A219" s="95"/>
      <c r="B219" s="62" t="s">
        <v>101</v>
      </c>
      <c r="D219" s="46">
        <v>77</v>
      </c>
      <c r="E219" s="46">
        <v>79</v>
      </c>
      <c r="F219" s="46">
        <v>335</v>
      </c>
      <c r="G219" s="46">
        <v>2350</v>
      </c>
      <c r="H219" s="46">
        <v>1.2</v>
      </c>
      <c r="I219" s="46">
        <v>1.4</v>
      </c>
      <c r="J219" s="46">
        <v>60</v>
      </c>
      <c r="K219" s="46">
        <v>0.7</v>
      </c>
      <c r="L219" s="46">
        <v>10</v>
      </c>
      <c r="M219" s="46">
        <v>1100</v>
      </c>
      <c r="N219" s="46">
        <v>1100</v>
      </c>
      <c r="O219" s="46">
        <v>250</v>
      </c>
      <c r="P219" s="46">
        <v>12</v>
      </c>
      <c r="Q219" s="46">
        <v>10</v>
      </c>
      <c r="R219" s="46">
        <v>0.1</v>
      </c>
      <c r="S219" s="98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0"/>
    </row>
    <row r="220" spans="1:38" s="52" customFormat="1" ht="15.75" customHeight="1" x14ac:dyDescent="0.25">
      <c r="A220" s="95"/>
      <c r="B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98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0"/>
    </row>
    <row r="221" spans="1:38" s="52" customFormat="1" ht="15.75" customHeight="1" x14ac:dyDescent="0.25">
      <c r="A221" s="95"/>
      <c r="B221" s="62" t="s">
        <v>214</v>
      </c>
      <c r="D221" s="46">
        <v>46.2</v>
      </c>
      <c r="E221" s="46">
        <v>47.4</v>
      </c>
      <c r="F221" s="46">
        <v>201</v>
      </c>
      <c r="G221" s="46">
        <v>1415.4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98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0"/>
    </row>
    <row r="222" spans="1:38" s="52" customFormat="1" ht="15.75" customHeight="1" x14ac:dyDescent="0.25">
      <c r="A222" s="95"/>
      <c r="B222" s="62" t="s">
        <v>215</v>
      </c>
      <c r="D222" s="46">
        <v>50.84</v>
      </c>
      <c r="E222" s="46">
        <v>48.28</v>
      </c>
      <c r="F222" s="46">
        <v>206.06</v>
      </c>
      <c r="G222" s="46">
        <v>1446.59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98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0"/>
    </row>
    <row r="223" spans="1:38" s="52" customFormat="1" ht="15.75" customHeight="1" x14ac:dyDescent="0.25">
      <c r="A223" s="95"/>
      <c r="B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13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0"/>
    </row>
    <row r="224" spans="1:38" s="155" customFormat="1" ht="15.75" customHeight="1" x14ac:dyDescent="0.25">
      <c r="A224" s="150"/>
      <c r="B224" s="151"/>
      <c r="C224" s="97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3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54"/>
    </row>
    <row r="225" spans="1:2" s="145" customFormat="1" ht="15.75" customHeight="1" x14ac:dyDescent="0.25">
      <c r="A225" s="156"/>
      <c r="B225" s="157"/>
    </row>
    <row r="226" spans="1:2" s="145" customFormat="1" ht="15.75" customHeight="1" x14ac:dyDescent="0.25">
      <c r="A226" s="156"/>
      <c r="B226" s="157"/>
    </row>
    <row r="227" spans="1:2" s="145" customFormat="1" ht="15.75" customHeight="1" x14ac:dyDescent="0.25">
      <c r="A227" s="156"/>
      <c r="B227" s="157"/>
    </row>
    <row r="228" spans="1:2" s="145" customFormat="1" ht="15.75" customHeight="1" x14ac:dyDescent="0.25">
      <c r="A228" s="156"/>
      <c r="B228" s="157"/>
    </row>
    <row r="229" spans="1:2" s="145" customFormat="1" ht="15.75" customHeight="1" x14ac:dyDescent="0.25">
      <c r="A229" s="156"/>
      <c r="B229" s="157"/>
    </row>
    <row r="230" spans="1:2" s="145" customFormat="1" ht="15.75" customHeight="1" x14ac:dyDescent="0.25">
      <c r="A230" s="156"/>
      <c r="B230" s="157"/>
    </row>
    <row r="231" spans="1:2" s="145" customFormat="1" ht="15.75" customHeight="1" x14ac:dyDescent="0.25">
      <c r="A231" s="156"/>
      <c r="B231" s="157"/>
    </row>
    <row r="232" spans="1:2" s="145" customFormat="1" ht="15.75" customHeight="1" x14ac:dyDescent="0.25">
      <c r="A232" s="156"/>
      <c r="B232" s="157"/>
    </row>
    <row r="233" spans="1:2" s="145" customFormat="1" ht="15.75" customHeight="1" x14ac:dyDescent="0.25">
      <c r="A233" s="156"/>
      <c r="B233" s="157"/>
    </row>
    <row r="234" spans="1:2" s="145" customFormat="1" ht="15.75" customHeight="1" x14ac:dyDescent="0.25">
      <c r="A234" s="156"/>
      <c r="B234" s="157"/>
    </row>
    <row r="235" spans="1:2" s="145" customFormat="1" ht="15.75" customHeight="1" x14ac:dyDescent="0.25">
      <c r="A235" s="156"/>
      <c r="B235" s="157"/>
    </row>
    <row r="236" spans="1:2" s="145" customFormat="1" ht="15.75" customHeight="1" x14ac:dyDescent="0.25">
      <c r="A236" s="156"/>
      <c r="B236" s="157"/>
    </row>
    <row r="237" spans="1:2" s="145" customFormat="1" ht="15.75" customHeight="1" x14ac:dyDescent="0.25">
      <c r="A237" s="156"/>
      <c r="B237" s="157"/>
    </row>
    <row r="238" spans="1:2" s="145" customFormat="1" ht="15.75" customHeight="1" x14ac:dyDescent="0.25">
      <c r="A238" s="156"/>
      <c r="B238" s="157"/>
    </row>
    <row r="239" spans="1:2" s="145" customFormat="1" ht="15.75" customHeight="1" x14ac:dyDescent="0.25">
      <c r="A239" s="156"/>
      <c r="B239" s="157"/>
    </row>
    <row r="240" spans="1:2" s="145" customFormat="1" ht="15.75" customHeight="1" x14ac:dyDescent="0.25">
      <c r="A240" s="156"/>
      <c r="B240" s="157"/>
    </row>
    <row r="241" spans="1:2" s="145" customFormat="1" ht="15.75" customHeight="1" x14ac:dyDescent="0.25">
      <c r="A241" s="156"/>
      <c r="B241" s="157"/>
    </row>
    <row r="242" spans="1:2" s="145" customFormat="1" ht="15.75" customHeight="1" x14ac:dyDescent="0.25">
      <c r="A242" s="156"/>
      <c r="B242" s="157"/>
    </row>
    <row r="243" spans="1:2" s="145" customFormat="1" ht="15.75" customHeight="1" x14ac:dyDescent="0.25">
      <c r="A243" s="156"/>
      <c r="B243" s="157"/>
    </row>
    <row r="244" spans="1:2" s="145" customFormat="1" ht="15.75" customHeight="1" x14ac:dyDescent="0.25">
      <c r="A244" s="156"/>
      <c r="B244" s="157"/>
    </row>
    <row r="245" spans="1:2" s="145" customFormat="1" ht="15.75" customHeight="1" x14ac:dyDescent="0.25">
      <c r="A245" s="156"/>
      <c r="B245" s="157"/>
    </row>
    <row r="246" spans="1:2" s="145" customFormat="1" ht="15.75" customHeight="1" x14ac:dyDescent="0.25">
      <c r="A246" s="156"/>
      <c r="B246" s="157"/>
    </row>
    <row r="247" spans="1:2" s="145" customFormat="1" ht="15.75" customHeight="1" x14ac:dyDescent="0.25">
      <c r="A247" s="156"/>
      <c r="B247" s="157"/>
    </row>
    <row r="248" spans="1:2" s="145" customFormat="1" ht="15.75" customHeight="1" x14ac:dyDescent="0.25">
      <c r="A248" s="156"/>
      <c r="B248" s="157"/>
    </row>
    <row r="249" spans="1:2" s="145" customFormat="1" ht="15.75" customHeight="1" x14ac:dyDescent="0.25">
      <c r="A249" s="156"/>
      <c r="B249" s="157"/>
    </row>
    <row r="250" spans="1:2" s="145" customFormat="1" ht="15.75" customHeight="1" x14ac:dyDescent="0.25">
      <c r="A250" s="156"/>
      <c r="B250" s="157"/>
    </row>
    <row r="251" spans="1:2" s="145" customFormat="1" ht="15.75" customHeight="1" x14ac:dyDescent="0.25">
      <c r="A251" s="156"/>
      <c r="B251" s="157"/>
    </row>
    <row r="252" spans="1:2" s="145" customFormat="1" ht="15.75" customHeight="1" x14ac:dyDescent="0.25">
      <c r="A252" s="156"/>
      <c r="B252" s="157"/>
    </row>
    <row r="253" spans="1:2" s="145" customFormat="1" ht="15.75" customHeight="1" x14ac:dyDescent="0.25">
      <c r="A253" s="156"/>
      <c r="B253" s="157"/>
    </row>
    <row r="254" spans="1:2" s="145" customFormat="1" ht="15.75" customHeight="1" x14ac:dyDescent="0.25">
      <c r="A254" s="156"/>
      <c r="B254" s="157"/>
    </row>
  </sheetData>
  <mergeCells count="18">
    <mergeCell ref="A109:B109"/>
    <mergeCell ref="A130:B130"/>
    <mergeCell ref="A89:B89"/>
    <mergeCell ref="M7:R7"/>
    <mergeCell ref="D7:F7"/>
    <mergeCell ref="G7:G8"/>
    <mergeCell ref="H7:L7"/>
    <mergeCell ref="A8:B8"/>
    <mergeCell ref="A29:B29"/>
    <mergeCell ref="A49:B49"/>
    <mergeCell ref="A69:B69"/>
    <mergeCell ref="G217:G218"/>
    <mergeCell ref="H217:L217"/>
    <mergeCell ref="M217:P217"/>
    <mergeCell ref="D217:F217"/>
    <mergeCell ref="A151:B151"/>
    <mergeCell ref="A174:B174"/>
    <mergeCell ref="A194:B194"/>
  </mergeCells>
  <pageMargins left="0.62992125984251968" right="0.23622047244094491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 x14ac:dyDescent="0.2"/>
  <cols>
    <col min="1" max="1" width="8.85546875" style="82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27" customFormat="1" ht="10.5" customHeight="1" x14ac:dyDescent="0.2">
      <c r="A1" s="125"/>
      <c r="B1" s="126" t="s">
        <v>104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97" s="127" customFormat="1" ht="10.5" customHeight="1" x14ac:dyDescent="0.2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97" s="15" customFormat="1" ht="10.5" customHeight="1" x14ac:dyDescent="0.2">
      <c r="A3" s="123"/>
      <c r="B3" s="124" t="s">
        <v>134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5" spans="1:97" s="131" customFormat="1" ht="38.25" customHeight="1" x14ac:dyDescent="0.2">
      <c r="A5" s="128" t="s">
        <v>76</v>
      </c>
      <c r="B5" s="129" t="s">
        <v>136</v>
      </c>
      <c r="C5" s="132" t="s">
        <v>77</v>
      </c>
      <c r="D5" s="132" t="s">
        <v>12</v>
      </c>
      <c r="E5" s="132" t="s">
        <v>13</v>
      </c>
      <c r="F5" s="132" t="s">
        <v>15</v>
      </c>
      <c r="G5" s="132" t="s">
        <v>14</v>
      </c>
      <c r="H5" s="132" t="s">
        <v>137</v>
      </c>
      <c r="I5" s="132" t="s">
        <v>11</v>
      </c>
      <c r="J5" s="132" t="s">
        <v>64</v>
      </c>
      <c r="K5" s="132" t="s">
        <v>5</v>
      </c>
      <c r="L5" s="132" t="s">
        <v>135</v>
      </c>
      <c r="M5" s="132" t="s">
        <v>138</v>
      </c>
      <c r="N5" s="132" t="s">
        <v>7</v>
      </c>
      <c r="O5" s="132" t="s">
        <v>93</v>
      </c>
      <c r="P5" s="132" t="s">
        <v>8</v>
      </c>
      <c r="Q5" s="132" t="s">
        <v>9</v>
      </c>
      <c r="R5" s="132" t="s">
        <v>67</v>
      </c>
      <c r="S5" s="132" t="s">
        <v>139</v>
      </c>
      <c r="T5" s="132" t="s">
        <v>68</v>
      </c>
      <c r="U5" s="132" t="s">
        <v>40</v>
      </c>
      <c r="V5" s="132" t="s">
        <v>37</v>
      </c>
      <c r="W5" s="132" t="s">
        <v>20</v>
      </c>
      <c r="X5" s="132" t="s">
        <v>140</v>
      </c>
      <c r="Y5" s="132" t="s">
        <v>10</v>
      </c>
      <c r="Z5" s="132" t="s">
        <v>18</v>
      </c>
      <c r="AA5" s="132" t="s">
        <v>141</v>
      </c>
      <c r="AB5" s="132" t="s">
        <v>16</v>
      </c>
      <c r="AC5" s="132" t="s">
        <v>17</v>
      </c>
      <c r="AD5" s="132" t="s">
        <v>57</v>
      </c>
      <c r="AE5" s="132" t="s">
        <v>19</v>
      </c>
      <c r="AF5" s="132" t="s">
        <v>142</v>
      </c>
      <c r="AG5" s="129" t="s">
        <v>59</v>
      </c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</row>
    <row r="6" spans="1:97" s="5" customFormat="1" ht="12" customHeight="1" x14ac:dyDescent="0.2">
      <c r="A6" s="6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243" t="s">
        <v>105</v>
      </c>
      <c r="B7" s="24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101">
        <v>3</v>
      </c>
      <c r="B8" s="102" t="s">
        <v>118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103"/>
      <c r="B9" s="104" t="s">
        <v>117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2">
      <c r="A10" s="101">
        <v>382</v>
      </c>
      <c r="B10" s="102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101"/>
      <c r="B11" s="102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101">
        <v>368</v>
      </c>
      <c r="B12" s="102" t="s">
        <v>115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7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71"/>
      <c r="B14" s="13" t="s">
        <v>153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72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242" t="s">
        <v>106</v>
      </c>
      <c r="B16" s="24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105"/>
      <c r="B17" s="106" t="s">
        <v>116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101">
        <v>259</v>
      </c>
      <c r="B18" s="102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101" t="s">
        <v>39</v>
      </c>
      <c r="B19" s="102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101"/>
      <c r="B20" s="102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101"/>
      <c r="B21" s="102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107"/>
      <c r="B22" s="102" t="s">
        <v>119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2">
      <c r="A23" s="7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71"/>
      <c r="B24" s="13" t="s">
        <v>153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73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243" t="s">
        <v>107</v>
      </c>
      <c r="B26" s="24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101"/>
      <c r="B27" s="102" t="s">
        <v>120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101">
        <v>296</v>
      </c>
      <c r="B28" s="102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108">
        <v>302</v>
      </c>
      <c r="B29" s="102" t="s">
        <v>121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101" t="s">
        <v>95</v>
      </c>
      <c r="B30" s="102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101"/>
      <c r="B31" s="102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101"/>
      <c r="B32" s="102" t="s">
        <v>124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101"/>
      <c r="B33" s="102" t="s">
        <v>122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6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71"/>
      <c r="B35" s="13" t="s">
        <v>153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73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243" t="s">
        <v>108</v>
      </c>
      <c r="B37" s="24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101"/>
      <c r="B38" s="102" t="s">
        <v>123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101" t="s">
        <v>103</v>
      </c>
      <c r="B39" s="102" t="s">
        <v>102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101">
        <v>312</v>
      </c>
      <c r="B40" s="102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101">
        <v>377</v>
      </c>
      <c r="B41" s="102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101"/>
      <c r="B42" s="102" t="s">
        <v>124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107" t="s">
        <v>39</v>
      </c>
      <c r="B43" s="102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6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71"/>
      <c r="B45" s="13" t="s">
        <v>153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73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243" t="s">
        <v>109</v>
      </c>
      <c r="B47" s="24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108"/>
      <c r="B48" s="106" t="s">
        <v>125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101">
        <v>212</v>
      </c>
      <c r="B49" s="102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101"/>
      <c r="B50" s="102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109"/>
      <c r="B51" s="102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110"/>
      <c r="B52" s="102" t="s">
        <v>124</v>
      </c>
      <c r="C52" s="2">
        <v>25</v>
      </c>
      <c r="D52" s="2">
        <v>25</v>
      </c>
    </row>
    <row r="53" spans="1:97" s="11" customFormat="1" ht="10.5" customHeight="1" x14ac:dyDescent="0.2">
      <c r="A53" s="101">
        <v>368</v>
      </c>
      <c r="B53" s="102" t="s">
        <v>132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6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71"/>
      <c r="B55" s="13" t="s">
        <v>153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70"/>
    </row>
    <row r="57" spans="1:97" s="10" customFormat="1" ht="10.5" customHeight="1" x14ac:dyDescent="0.2">
      <c r="A57" s="243" t="s">
        <v>110</v>
      </c>
      <c r="B57" s="24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101"/>
      <c r="B58" s="102" t="s">
        <v>116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101">
        <v>269</v>
      </c>
      <c r="B59" s="102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108" t="s">
        <v>70</v>
      </c>
      <c r="B60" s="106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101"/>
      <c r="B61" s="102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101"/>
      <c r="B62" s="102" t="s">
        <v>124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101"/>
      <c r="B63" s="102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101"/>
      <c r="B64" s="102" t="s">
        <v>133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6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71"/>
      <c r="B66" s="13" t="s">
        <v>153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6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243" t="s">
        <v>111</v>
      </c>
      <c r="B68" s="24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101"/>
      <c r="B69" s="102" t="s">
        <v>125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101">
        <v>235</v>
      </c>
      <c r="B70" s="102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101">
        <v>310</v>
      </c>
      <c r="B71" s="102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101" t="s">
        <v>39</v>
      </c>
      <c r="B72" s="102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101"/>
      <c r="B73" s="102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101"/>
      <c r="B74" s="102" t="s">
        <v>124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101"/>
      <c r="B75" s="102" t="s">
        <v>131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69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71"/>
      <c r="B77" s="13" t="s">
        <v>153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70"/>
      <c r="B78" s="26"/>
    </row>
    <row r="79" spans="1:97" s="10" customFormat="1" ht="10.5" customHeight="1" x14ac:dyDescent="0.2">
      <c r="A79" s="243" t="s">
        <v>112</v>
      </c>
      <c r="B79" s="24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101"/>
      <c r="B80" s="102" t="s">
        <v>127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101">
        <v>278</v>
      </c>
      <c r="B81" s="102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108">
        <v>330</v>
      </c>
      <c r="B82" s="102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101">
        <v>302</v>
      </c>
      <c r="B83" s="102" t="s">
        <v>128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101">
        <v>342</v>
      </c>
      <c r="B84" s="102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101"/>
      <c r="B85" s="102" t="s">
        <v>124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101"/>
      <c r="B86" s="102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111"/>
      <c r="B87" s="112" t="s">
        <v>126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6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71"/>
      <c r="B89" s="13" t="s">
        <v>153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73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243" t="s">
        <v>113</v>
      </c>
      <c r="B91" s="24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101">
        <v>222</v>
      </c>
      <c r="B92" s="102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107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101">
        <v>397</v>
      </c>
      <c r="B94" s="102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101"/>
      <c r="B95" s="102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109"/>
      <c r="B96" s="102" t="s">
        <v>129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68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71"/>
      <c r="B98" s="13" t="s">
        <v>153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73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243" t="s">
        <v>114</v>
      </c>
      <c r="B100" s="24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101"/>
      <c r="B101" s="102" t="s">
        <v>116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101">
        <v>297</v>
      </c>
      <c r="B102" s="102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108">
        <v>203</v>
      </c>
      <c r="B103" s="106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101">
        <v>379</v>
      </c>
      <c r="B104" s="102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101"/>
      <c r="B105" s="102" t="s">
        <v>124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101"/>
      <c r="B106" s="102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101">
        <v>368</v>
      </c>
      <c r="B107" s="102" t="s">
        <v>130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6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71"/>
      <c r="B109" s="13" t="s">
        <v>153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73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31" customFormat="1" ht="38.25" customHeight="1" x14ac:dyDescent="0.2">
      <c r="A111" s="128"/>
      <c r="B111" s="129" t="s">
        <v>143</v>
      </c>
      <c r="C111" s="132" t="s">
        <v>77</v>
      </c>
      <c r="D111" s="132" t="s">
        <v>12</v>
      </c>
      <c r="E111" s="132" t="s">
        <v>13</v>
      </c>
      <c r="F111" s="132" t="s">
        <v>15</v>
      </c>
      <c r="G111" s="132" t="s">
        <v>14</v>
      </c>
      <c r="H111" s="132" t="s">
        <v>137</v>
      </c>
      <c r="I111" s="132" t="s">
        <v>11</v>
      </c>
      <c r="J111" s="132" t="s">
        <v>64</v>
      </c>
      <c r="K111" s="132" t="s">
        <v>5</v>
      </c>
      <c r="L111" s="132" t="s">
        <v>135</v>
      </c>
      <c r="M111" s="132" t="s">
        <v>138</v>
      </c>
      <c r="N111" s="132" t="s">
        <v>7</v>
      </c>
      <c r="O111" s="132" t="s">
        <v>93</v>
      </c>
      <c r="P111" s="132" t="s">
        <v>8</v>
      </c>
      <c r="Q111" s="132" t="s">
        <v>9</v>
      </c>
      <c r="R111" s="132" t="s">
        <v>67</v>
      </c>
      <c r="S111" s="132" t="s">
        <v>139</v>
      </c>
      <c r="T111" s="132" t="s">
        <v>68</v>
      </c>
      <c r="U111" s="132" t="s">
        <v>40</v>
      </c>
      <c r="V111" s="132" t="s">
        <v>37</v>
      </c>
      <c r="W111" s="132" t="s">
        <v>20</v>
      </c>
      <c r="X111" s="132" t="s">
        <v>140</v>
      </c>
      <c r="Y111" s="132" t="s">
        <v>10</v>
      </c>
      <c r="Z111" s="132" t="s">
        <v>18</v>
      </c>
      <c r="AA111" s="132" t="s">
        <v>141</v>
      </c>
      <c r="AB111" s="132" t="s">
        <v>16</v>
      </c>
      <c r="AC111" s="132" t="s">
        <v>17</v>
      </c>
      <c r="AD111" s="132" t="s">
        <v>57</v>
      </c>
      <c r="AE111" s="132" t="s">
        <v>19</v>
      </c>
      <c r="AF111" s="132" t="s">
        <v>142</v>
      </c>
      <c r="AG111" s="129" t="s">
        <v>59</v>
      </c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</row>
    <row r="112" spans="1:97" s="25" customFormat="1" ht="24" customHeight="1" x14ac:dyDescent="0.2">
      <c r="A112" s="75"/>
      <c r="B112" s="29" t="s">
        <v>150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76"/>
      <c r="B113" s="30" t="s">
        <v>151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245"/>
      <c r="B114" s="246"/>
    </row>
    <row r="115" spans="1:97" s="32" customFormat="1" ht="18" customHeight="1" x14ac:dyDescent="0.2">
      <c r="A115" s="77"/>
      <c r="B115" s="31" t="s">
        <v>152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70"/>
    </row>
    <row r="117" spans="1:97" ht="10.5" customHeight="1" x14ac:dyDescent="0.2">
      <c r="A117" s="70"/>
    </row>
    <row r="118" spans="1:97" ht="10.5" customHeight="1" x14ac:dyDescent="0.2">
      <c r="A118" s="70"/>
    </row>
    <row r="119" spans="1:97" ht="10.5" customHeight="1" x14ac:dyDescent="0.2">
      <c r="A119" s="74"/>
      <c r="B119" s="241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74"/>
      <c r="B120" s="241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74"/>
      <c r="B121" s="241"/>
      <c r="C121" s="33" t="s">
        <v>51</v>
      </c>
      <c r="D121" s="33"/>
      <c r="E121" s="158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74"/>
      <c r="B122" s="35" t="s">
        <v>50</v>
      </c>
      <c r="C122" s="33">
        <v>80</v>
      </c>
      <c r="D122" s="33"/>
      <c r="E122" s="158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2">
      <c r="A123" s="74"/>
      <c r="B123" s="35" t="s">
        <v>24</v>
      </c>
      <c r="C123" s="33">
        <v>150</v>
      </c>
      <c r="D123" s="33"/>
      <c r="E123" s="158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74"/>
      <c r="B124" s="35" t="s">
        <v>25</v>
      </c>
      <c r="C124" s="33">
        <v>15</v>
      </c>
      <c r="D124" s="33"/>
      <c r="E124" s="158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74"/>
      <c r="B125" s="35" t="s">
        <v>26</v>
      </c>
      <c r="C125" s="33">
        <v>45</v>
      </c>
      <c r="D125" s="33"/>
      <c r="E125" s="158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74"/>
      <c r="B126" s="35" t="s">
        <v>27</v>
      </c>
      <c r="C126" s="33">
        <v>15</v>
      </c>
      <c r="D126" s="33"/>
      <c r="E126" s="158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74"/>
      <c r="B127" s="35" t="s">
        <v>28</v>
      </c>
      <c r="C127" s="33">
        <v>188</v>
      </c>
      <c r="D127" s="33"/>
      <c r="E127" s="158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74"/>
      <c r="B128" s="35" t="s">
        <v>78</v>
      </c>
      <c r="C128" s="33">
        <v>280</v>
      </c>
      <c r="D128" s="33"/>
      <c r="E128" s="158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74"/>
      <c r="B129" s="35" t="s">
        <v>79</v>
      </c>
      <c r="C129" s="33">
        <v>185</v>
      </c>
      <c r="D129" s="33"/>
      <c r="E129" s="158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74"/>
      <c r="B130" s="35" t="s">
        <v>80</v>
      </c>
      <c r="C130" s="33">
        <v>15</v>
      </c>
      <c r="D130" s="33"/>
      <c r="E130" s="158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74"/>
      <c r="B131" s="35" t="s">
        <v>53</v>
      </c>
      <c r="C131" s="33">
        <v>200</v>
      </c>
      <c r="D131" s="33"/>
      <c r="E131" s="158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74"/>
      <c r="B132" s="35" t="s">
        <v>81</v>
      </c>
      <c r="C132" s="33">
        <v>70</v>
      </c>
      <c r="D132" s="33"/>
      <c r="E132" s="158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74"/>
      <c r="B133" s="35" t="s">
        <v>144</v>
      </c>
      <c r="C133" s="33">
        <v>15</v>
      </c>
      <c r="D133" s="33"/>
      <c r="E133" s="158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74"/>
      <c r="B134" s="35" t="s">
        <v>82</v>
      </c>
      <c r="C134" s="33">
        <v>35</v>
      </c>
      <c r="D134" s="33"/>
      <c r="E134" s="158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74"/>
      <c r="B135" s="35" t="s">
        <v>83</v>
      </c>
      <c r="C135" s="33">
        <v>58</v>
      </c>
      <c r="D135" s="33"/>
      <c r="E135" s="158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74"/>
      <c r="B136" s="35" t="s">
        <v>54</v>
      </c>
      <c r="C136" s="33">
        <v>300</v>
      </c>
      <c r="D136" s="33"/>
      <c r="E136" s="158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74"/>
      <c r="B137" s="35" t="s">
        <v>55</v>
      </c>
      <c r="C137" s="33">
        <v>150</v>
      </c>
      <c r="D137" s="33"/>
      <c r="E137" s="158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74"/>
      <c r="B138" s="35" t="s">
        <v>62</v>
      </c>
      <c r="C138" s="33">
        <v>50</v>
      </c>
      <c r="D138" s="33"/>
      <c r="E138" s="158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74"/>
      <c r="B139" s="35" t="s">
        <v>29</v>
      </c>
      <c r="C139" s="33">
        <v>9.8000000000000007</v>
      </c>
      <c r="D139" s="33"/>
      <c r="E139" s="158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74"/>
      <c r="B140" s="35" t="s">
        <v>35</v>
      </c>
      <c r="C140" s="33">
        <v>10</v>
      </c>
      <c r="D140" s="33"/>
      <c r="E140" s="158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74"/>
      <c r="B141" s="35" t="s">
        <v>30</v>
      </c>
      <c r="C141" s="33">
        <v>30</v>
      </c>
      <c r="D141" s="33"/>
      <c r="E141" s="158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74"/>
      <c r="B142" s="35" t="s">
        <v>31</v>
      </c>
      <c r="C142" s="33">
        <v>15</v>
      </c>
      <c r="D142" s="33"/>
      <c r="E142" s="158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74"/>
      <c r="B143" s="35" t="s">
        <v>65</v>
      </c>
      <c r="C143" s="33">
        <v>40</v>
      </c>
      <c r="D143" s="33"/>
      <c r="E143" s="158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74"/>
      <c r="B144" s="35" t="s">
        <v>32</v>
      </c>
      <c r="C144" s="33">
        <v>40</v>
      </c>
      <c r="D144" s="33"/>
      <c r="E144" s="158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74"/>
      <c r="B145" s="35" t="s">
        <v>33</v>
      </c>
      <c r="C145" s="33">
        <v>10</v>
      </c>
      <c r="D145" s="33"/>
      <c r="E145" s="158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74"/>
      <c r="B146" s="35" t="s">
        <v>16</v>
      </c>
      <c r="C146" s="33">
        <v>0.4</v>
      </c>
      <c r="D146" s="33"/>
      <c r="E146" s="158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74"/>
      <c r="B147" s="35" t="s">
        <v>56</v>
      </c>
      <c r="C147" s="33">
        <v>1.2</v>
      </c>
      <c r="D147" s="33"/>
      <c r="E147" s="158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74"/>
      <c r="B148" s="40" t="s">
        <v>100</v>
      </c>
      <c r="C148" s="39">
        <v>2</v>
      </c>
      <c r="D148" s="39"/>
      <c r="E148" s="159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74"/>
      <c r="B149" s="35" t="s">
        <v>34</v>
      </c>
      <c r="C149" s="33">
        <v>1</v>
      </c>
      <c r="D149" s="33"/>
      <c r="E149" s="158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78"/>
      <c r="B150" s="35" t="s">
        <v>58</v>
      </c>
      <c r="C150" s="33">
        <v>3</v>
      </c>
      <c r="D150" s="33"/>
      <c r="E150" s="158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74"/>
      <c r="B151" s="39" t="s">
        <v>99</v>
      </c>
      <c r="C151" s="39">
        <v>2</v>
      </c>
      <c r="D151" s="39"/>
      <c r="E151" s="159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79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79"/>
    </row>
    <row r="154" spans="1:97" s="37" customFormat="1" ht="10.5" customHeight="1" x14ac:dyDescent="0.2">
      <c r="A154" s="79"/>
    </row>
    <row r="155" spans="1:97" s="38" customFormat="1" ht="10.5" customHeight="1" x14ac:dyDescent="0.2">
      <c r="A155" s="80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80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79"/>
    </row>
    <row r="158" spans="1:97" s="37" customFormat="1" ht="10.5" customHeight="1" x14ac:dyDescent="0.2">
      <c r="A158" s="79"/>
    </row>
    <row r="159" spans="1:97" s="37" customFormat="1" ht="10.5" customHeight="1" x14ac:dyDescent="0.2">
      <c r="A159" s="79"/>
    </row>
    <row r="160" spans="1:97" s="37" customFormat="1" ht="10.5" customHeight="1" x14ac:dyDescent="0.2">
      <c r="A160" s="79"/>
    </row>
    <row r="161" spans="1:1" s="37" customFormat="1" ht="10.5" customHeight="1" x14ac:dyDescent="0.2">
      <c r="A161" s="79"/>
    </row>
    <row r="162" spans="1:1" s="37" customFormat="1" ht="10.5" customHeight="1" x14ac:dyDescent="0.2">
      <c r="A162" s="79"/>
    </row>
    <row r="163" spans="1:1" s="37" customFormat="1" ht="10.5" customHeight="1" x14ac:dyDescent="0.2">
      <c r="A163" s="79"/>
    </row>
    <row r="164" spans="1:1" s="37" customFormat="1" ht="10.5" customHeight="1" x14ac:dyDescent="0.2">
      <c r="A164" s="79"/>
    </row>
    <row r="165" spans="1:1" s="37" customFormat="1" ht="10.5" customHeight="1" x14ac:dyDescent="0.2">
      <c r="A165" s="79"/>
    </row>
    <row r="166" spans="1:1" s="37" customFormat="1" ht="10.5" customHeight="1" x14ac:dyDescent="0.2">
      <c r="A166" s="79"/>
    </row>
    <row r="167" spans="1:1" s="37" customFormat="1" ht="10.5" customHeight="1" x14ac:dyDescent="0.2">
      <c r="A167" s="79"/>
    </row>
    <row r="168" spans="1:1" s="37" customFormat="1" ht="10.5" customHeight="1" x14ac:dyDescent="0.2">
      <c r="A168" s="79"/>
    </row>
    <row r="169" spans="1:1" s="37" customFormat="1" ht="10.5" customHeight="1" x14ac:dyDescent="0.2">
      <c r="A169" s="79"/>
    </row>
    <row r="170" spans="1:1" s="37" customFormat="1" ht="10.5" customHeight="1" x14ac:dyDescent="0.2">
      <c r="A170" s="79"/>
    </row>
    <row r="171" spans="1:1" s="37" customFormat="1" ht="10.5" customHeight="1" x14ac:dyDescent="0.2">
      <c r="A171" s="79"/>
    </row>
    <row r="172" spans="1:1" s="37" customFormat="1" ht="10.5" customHeight="1" x14ac:dyDescent="0.2">
      <c r="A172" s="79"/>
    </row>
    <row r="173" spans="1:1" s="37" customFormat="1" ht="10.5" customHeight="1" x14ac:dyDescent="0.2">
      <c r="A173" s="79"/>
    </row>
    <row r="174" spans="1:1" s="37" customFormat="1" ht="10.5" customHeight="1" x14ac:dyDescent="0.2">
      <c r="A174" s="79"/>
    </row>
    <row r="175" spans="1:1" s="37" customFormat="1" ht="10.5" customHeight="1" x14ac:dyDescent="0.2">
      <c r="A175" s="79"/>
    </row>
    <row r="176" spans="1:1" s="37" customFormat="1" ht="10.5" customHeight="1" x14ac:dyDescent="0.2">
      <c r="A176" s="79"/>
    </row>
    <row r="177" spans="1:1" s="37" customFormat="1" ht="10.5" customHeight="1" x14ac:dyDescent="0.2">
      <c r="A177" s="79"/>
    </row>
    <row r="178" spans="1:1" s="37" customFormat="1" ht="10.5" customHeight="1" x14ac:dyDescent="0.2">
      <c r="A178" s="79"/>
    </row>
    <row r="179" spans="1:1" s="37" customFormat="1" ht="10.5" customHeight="1" x14ac:dyDescent="0.2">
      <c r="A179" s="79"/>
    </row>
    <row r="180" spans="1:1" s="37" customFormat="1" ht="10.5" customHeight="1" x14ac:dyDescent="0.2">
      <c r="A180" s="79"/>
    </row>
    <row r="181" spans="1:1" s="37" customFormat="1" ht="10.5" customHeight="1" x14ac:dyDescent="0.2">
      <c r="A181" s="79"/>
    </row>
    <row r="182" spans="1:1" s="37" customFormat="1" ht="10.5" customHeight="1" x14ac:dyDescent="0.2">
      <c r="A182" s="79"/>
    </row>
    <row r="183" spans="1:1" s="37" customFormat="1" ht="10.5" customHeight="1" x14ac:dyDescent="0.2">
      <c r="A183" s="79"/>
    </row>
    <row r="184" spans="1:1" s="37" customFormat="1" ht="10.5" customHeight="1" x14ac:dyDescent="0.2">
      <c r="A184" s="79"/>
    </row>
    <row r="185" spans="1:1" s="37" customFormat="1" ht="10.5" customHeight="1" x14ac:dyDescent="0.2">
      <c r="A185" s="79"/>
    </row>
    <row r="186" spans="1:1" s="37" customFormat="1" ht="10.5" customHeight="1" x14ac:dyDescent="0.2">
      <c r="A186" s="79"/>
    </row>
    <row r="187" spans="1:1" s="37" customFormat="1" ht="10.5" customHeight="1" x14ac:dyDescent="0.2">
      <c r="A187" s="79"/>
    </row>
    <row r="188" spans="1:1" s="37" customFormat="1" ht="10.5" customHeight="1" x14ac:dyDescent="0.2">
      <c r="A188" s="79"/>
    </row>
    <row r="189" spans="1:1" s="37" customFormat="1" ht="10.5" customHeight="1" x14ac:dyDescent="0.2">
      <c r="A189" s="79"/>
    </row>
    <row r="190" spans="1:1" s="37" customFormat="1" ht="10.5" customHeight="1" x14ac:dyDescent="0.2">
      <c r="A190" s="79"/>
    </row>
    <row r="191" spans="1:1" s="37" customFormat="1" ht="10.5" customHeight="1" x14ac:dyDescent="0.2">
      <c r="A191" s="79"/>
    </row>
    <row r="192" spans="1:1" s="37" customFormat="1" ht="10.5" customHeight="1" x14ac:dyDescent="0.2">
      <c r="A192" s="79"/>
    </row>
    <row r="193" spans="1:1" s="37" customFormat="1" ht="10.5" customHeight="1" x14ac:dyDescent="0.2">
      <c r="A193" s="79"/>
    </row>
    <row r="194" spans="1:1" s="37" customFormat="1" ht="10.5" customHeight="1" x14ac:dyDescent="0.2">
      <c r="A194" s="79"/>
    </row>
    <row r="195" spans="1:1" s="37" customFormat="1" ht="10.5" customHeight="1" x14ac:dyDescent="0.2">
      <c r="A195" s="79"/>
    </row>
    <row r="196" spans="1:1" s="37" customFormat="1" ht="10.5" customHeight="1" x14ac:dyDescent="0.2">
      <c r="A196" s="79"/>
    </row>
    <row r="197" spans="1:1" s="37" customFormat="1" ht="10.5" customHeight="1" x14ac:dyDescent="0.2">
      <c r="A197" s="79"/>
    </row>
    <row r="198" spans="1:1" s="37" customFormat="1" ht="10.5" customHeight="1" x14ac:dyDescent="0.2">
      <c r="A198" s="79"/>
    </row>
    <row r="199" spans="1:1" s="37" customFormat="1" ht="10.5" customHeight="1" x14ac:dyDescent="0.2">
      <c r="A199" s="79"/>
    </row>
    <row r="200" spans="1:1" s="37" customFormat="1" ht="10.5" customHeight="1" x14ac:dyDescent="0.2">
      <c r="A200" s="79"/>
    </row>
    <row r="201" spans="1:1" s="37" customFormat="1" ht="10.5" customHeight="1" x14ac:dyDescent="0.2">
      <c r="A201" s="79"/>
    </row>
    <row r="202" spans="1:1" s="37" customFormat="1" ht="10.5" customHeight="1" x14ac:dyDescent="0.2">
      <c r="A202" s="79"/>
    </row>
    <row r="203" spans="1:1" s="37" customFormat="1" ht="10.5" customHeight="1" x14ac:dyDescent="0.2">
      <c r="A203" s="79"/>
    </row>
    <row r="204" spans="1:1" s="37" customFormat="1" ht="10.5" customHeight="1" x14ac:dyDescent="0.2">
      <c r="A204" s="79"/>
    </row>
    <row r="205" spans="1:1" s="37" customFormat="1" ht="10.5" customHeight="1" x14ac:dyDescent="0.2">
      <c r="A205" s="79"/>
    </row>
    <row r="206" spans="1:1" s="37" customFormat="1" ht="10.5" customHeight="1" x14ac:dyDescent="0.2">
      <c r="A206" s="79"/>
    </row>
    <row r="207" spans="1:1" s="37" customFormat="1" ht="10.5" customHeight="1" x14ac:dyDescent="0.2">
      <c r="A207" s="79"/>
    </row>
    <row r="208" spans="1:1" s="37" customFormat="1" ht="10.5" customHeight="1" x14ac:dyDescent="0.2">
      <c r="A208" s="79"/>
    </row>
    <row r="209" spans="1:1" s="37" customFormat="1" ht="10.5" customHeight="1" x14ac:dyDescent="0.2">
      <c r="A209" s="79"/>
    </row>
    <row r="210" spans="1:1" s="37" customFormat="1" ht="10.5" customHeight="1" x14ac:dyDescent="0.2">
      <c r="A210" s="79"/>
    </row>
    <row r="211" spans="1:1" s="37" customFormat="1" ht="10.5" customHeight="1" x14ac:dyDescent="0.2">
      <c r="A211" s="79"/>
    </row>
    <row r="212" spans="1:1" s="37" customFormat="1" ht="10.5" customHeight="1" x14ac:dyDescent="0.2">
      <c r="A212" s="79"/>
    </row>
    <row r="213" spans="1:1" s="37" customFormat="1" ht="10.5" customHeight="1" x14ac:dyDescent="0.2">
      <c r="A213" s="79"/>
    </row>
    <row r="214" spans="1:1" s="37" customFormat="1" ht="10.5" customHeight="1" x14ac:dyDescent="0.2">
      <c r="A214" s="79"/>
    </row>
    <row r="215" spans="1:1" s="37" customFormat="1" ht="10.5" customHeight="1" x14ac:dyDescent="0.2">
      <c r="A215" s="79"/>
    </row>
    <row r="216" spans="1:1" s="37" customFormat="1" ht="10.5" customHeight="1" x14ac:dyDescent="0.2">
      <c r="A216" s="79"/>
    </row>
    <row r="217" spans="1:1" s="37" customFormat="1" ht="10.5" customHeight="1" x14ac:dyDescent="0.2">
      <c r="A217" s="79"/>
    </row>
    <row r="218" spans="1:1" s="37" customFormat="1" ht="10.5" customHeight="1" x14ac:dyDescent="0.2">
      <c r="A218" s="79"/>
    </row>
    <row r="219" spans="1:1" s="37" customFormat="1" ht="10.5" customHeight="1" x14ac:dyDescent="0.2">
      <c r="A219" s="79"/>
    </row>
    <row r="220" spans="1:1" s="37" customFormat="1" ht="10.5" customHeight="1" x14ac:dyDescent="0.2">
      <c r="A220" s="79"/>
    </row>
    <row r="221" spans="1:1" s="37" customFormat="1" ht="10.5" customHeight="1" x14ac:dyDescent="0.2">
      <c r="A221" s="79"/>
    </row>
    <row r="222" spans="1:1" s="37" customFormat="1" ht="10.5" customHeight="1" x14ac:dyDescent="0.2">
      <c r="A222" s="79"/>
    </row>
    <row r="223" spans="1:1" s="37" customFormat="1" ht="10.5" customHeight="1" x14ac:dyDescent="0.2">
      <c r="A223" s="79"/>
    </row>
    <row r="224" spans="1:1" s="37" customFormat="1" ht="10.5" customHeight="1" x14ac:dyDescent="0.2">
      <c r="A224" s="79"/>
    </row>
    <row r="225" spans="1:1" s="37" customFormat="1" ht="10.5" customHeight="1" x14ac:dyDescent="0.2">
      <c r="A225" s="79"/>
    </row>
    <row r="226" spans="1:1" s="37" customFormat="1" ht="10.5" customHeight="1" x14ac:dyDescent="0.2">
      <c r="A226" s="79"/>
    </row>
    <row r="227" spans="1:1" s="37" customFormat="1" ht="10.5" customHeight="1" x14ac:dyDescent="0.2">
      <c r="A227" s="79"/>
    </row>
    <row r="228" spans="1:1" s="37" customFormat="1" ht="10.5" customHeight="1" x14ac:dyDescent="0.2">
      <c r="A228" s="79"/>
    </row>
    <row r="229" spans="1:1" s="37" customFormat="1" ht="10.5" customHeight="1" x14ac:dyDescent="0.2">
      <c r="A229" s="79"/>
    </row>
    <row r="230" spans="1:1" s="37" customFormat="1" ht="10.5" customHeight="1" x14ac:dyDescent="0.2">
      <c r="A230" s="79"/>
    </row>
    <row r="231" spans="1:1" s="37" customFormat="1" ht="10.5" customHeight="1" x14ac:dyDescent="0.2">
      <c r="A231" s="79"/>
    </row>
    <row r="232" spans="1:1" s="37" customFormat="1" ht="10.5" customHeight="1" x14ac:dyDescent="0.2">
      <c r="A232" s="79"/>
    </row>
    <row r="233" spans="1:1" s="37" customFormat="1" ht="10.5" customHeight="1" x14ac:dyDescent="0.2">
      <c r="A233" s="79"/>
    </row>
    <row r="234" spans="1:1" s="37" customFormat="1" ht="10.5" customHeight="1" x14ac:dyDescent="0.2">
      <c r="A234" s="79"/>
    </row>
    <row r="235" spans="1:1" s="37" customFormat="1" ht="10.5" customHeight="1" x14ac:dyDescent="0.2">
      <c r="A235" s="79"/>
    </row>
    <row r="236" spans="1:1" s="37" customFormat="1" ht="10.5" customHeight="1" x14ac:dyDescent="0.2">
      <c r="A236" s="79"/>
    </row>
    <row r="237" spans="1:1" s="37" customFormat="1" ht="10.5" customHeight="1" x14ac:dyDescent="0.2">
      <c r="A237" s="79"/>
    </row>
    <row r="238" spans="1:1" s="37" customFormat="1" ht="10.5" customHeight="1" x14ac:dyDescent="0.2">
      <c r="A238" s="79"/>
    </row>
    <row r="239" spans="1:1" s="37" customFormat="1" ht="10.5" customHeight="1" x14ac:dyDescent="0.2">
      <c r="A239" s="79"/>
    </row>
    <row r="240" spans="1:1" s="37" customFormat="1" ht="10.5" customHeight="1" x14ac:dyDescent="0.2">
      <c r="A240" s="79"/>
    </row>
    <row r="241" spans="1:1" s="37" customFormat="1" ht="10.5" customHeight="1" x14ac:dyDescent="0.2">
      <c r="A241" s="79"/>
    </row>
    <row r="242" spans="1:1" s="37" customFormat="1" ht="10.5" customHeight="1" x14ac:dyDescent="0.2">
      <c r="A242" s="79"/>
    </row>
    <row r="243" spans="1:1" s="37" customFormat="1" ht="10.5" customHeight="1" x14ac:dyDescent="0.2">
      <c r="A243" s="79"/>
    </row>
    <row r="244" spans="1:1" s="37" customFormat="1" ht="10.5" customHeight="1" x14ac:dyDescent="0.2">
      <c r="A244" s="79"/>
    </row>
    <row r="245" spans="1:1" s="37" customFormat="1" ht="10.5" customHeight="1" x14ac:dyDescent="0.2">
      <c r="A245" s="79"/>
    </row>
    <row r="246" spans="1:1" s="37" customFormat="1" ht="10.5" customHeight="1" x14ac:dyDescent="0.2">
      <c r="A246" s="79"/>
    </row>
    <row r="247" spans="1:1" s="37" customFormat="1" ht="10.5" customHeight="1" x14ac:dyDescent="0.2">
      <c r="A247" s="79"/>
    </row>
    <row r="248" spans="1:1" s="37" customFormat="1" ht="10.5" customHeight="1" x14ac:dyDescent="0.2">
      <c r="A248" s="79"/>
    </row>
    <row r="249" spans="1:1" s="37" customFormat="1" ht="10.5" customHeight="1" x14ac:dyDescent="0.2">
      <c r="A249" s="79"/>
    </row>
    <row r="250" spans="1:1" s="37" customFormat="1" ht="10.5" customHeight="1" x14ac:dyDescent="0.2">
      <c r="A250" s="79"/>
    </row>
    <row r="251" spans="1:1" s="37" customFormat="1" ht="10.5" customHeight="1" x14ac:dyDescent="0.2">
      <c r="A251" s="79"/>
    </row>
    <row r="252" spans="1:1" s="37" customFormat="1" ht="10.5" customHeight="1" x14ac:dyDescent="0.2">
      <c r="A252" s="79"/>
    </row>
    <row r="253" spans="1:1" s="37" customFormat="1" ht="10.5" customHeight="1" x14ac:dyDescent="0.2">
      <c r="A253" s="79"/>
    </row>
    <row r="254" spans="1:1" s="37" customFormat="1" ht="10.5" customHeight="1" x14ac:dyDescent="0.2">
      <c r="A254" s="79"/>
    </row>
    <row r="255" spans="1:1" s="37" customFormat="1" ht="10.5" customHeight="1" x14ac:dyDescent="0.2">
      <c r="A255" s="79"/>
    </row>
    <row r="256" spans="1:1" s="37" customFormat="1" ht="10.5" customHeight="1" x14ac:dyDescent="0.2">
      <c r="A256" s="79"/>
    </row>
    <row r="257" spans="1:1" s="37" customFormat="1" ht="10.5" customHeight="1" x14ac:dyDescent="0.2">
      <c r="A257" s="79"/>
    </row>
    <row r="258" spans="1:1" s="37" customFormat="1" ht="10.5" customHeight="1" x14ac:dyDescent="0.2">
      <c r="A258" s="79"/>
    </row>
    <row r="259" spans="1:1" s="37" customFormat="1" ht="10.5" customHeight="1" x14ac:dyDescent="0.2">
      <c r="A259" s="79"/>
    </row>
    <row r="260" spans="1:1" s="37" customFormat="1" ht="10.5" customHeight="1" x14ac:dyDescent="0.2">
      <c r="A260" s="79"/>
    </row>
    <row r="261" spans="1:1" s="37" customFormat="1" ht="10.5" customHeight="1" x14ac:dyDescent="0.2">
      <c r="A261" s="79"/>
    </row>
    <row r="262" spans="1:1" s="37" customFormat="1" ht="10.5" customHeight="1" x14ac:dyDescent="0.2">
      <c r="A262" s="79"/>
    </row>
    <row r="263" spans="1:1" s="37" customFormat="1" ht="10.5" customHeight="1" x14ac:dyDescent="0.2">
      <c r="A263" s="79"/>
    </row>
    <row r="264" spans="1:1" s="37" customFormat="1" ht="10.5" customHeight="1" x14ac:dyDescent="0.2">
      <c r="A264" s="79"/>
    </row>
    <row r="265" spans="1:1" s="37" customFormat="1" ht="10.5" customHeight="1" x14ac:dyDescent="0.2">
      <c r="A265" s="79"/>
    </row>
    <row r="266" spans="1:1" s="37" customFormat="1" ht="10.5" customHeight="1" x14ac:dyDescent="0.2">
      <c r="A266" s="79"/>
    </row>
    <row r="267" spans="1:1" s="37" customFormat="1" ht="10.5" customHeight="1" x14ac:dyDescent="0.2">
      <c r="A267" s="79"/>
    </row>
    <row r="268" spans="1:1" s="37" customFormat="1" ht="10.5" customHeight="1" x14ac:dyDescent="0.2">
      <c r="A268" s="79"/>
    </row>
    <row r="269" spans="1:1" s="37" customFormat="1" ht="10.5" customHeight="1" x14ac:dyDescent="0.2">
      <c r="A269" s="79"/>
    </row>
    <row r="270" spans="1:1" s="37" customFormat="1" ht="10.5" customHeight="1" x14ac:dyDescent="0.2">
      <c r="A270" s="79"/>
    </row>
    <row r="271" spans="1:1" s="37" customFormat="1" ht="10.5" customHeight="1" x14ac:dyDescent="0.2">
      <c r="A271" s="79"/>
    </row>
    <row r="272" spans="1:1" s="37" customFormat="1" ht="10.5" customHeight="1" x14ac:dyDescent="0.2">
      <c r="A272" s="79"/>
    </row>
    <row r="273" spans="1:1" s="37" customFormat="1" ht="10.5" customHeight="1" x14ac:dyDescent="0.2">
      <c r="A273" s="79"/>
    </row>
    <row r="274" spans="1:1" s="37" customFormat="1" ht="10.5" customHeight="1" x14ac:dyDescent="0.2">
      <c r="A274" s="79"/>
    </row>
    <row r="275" spans="1:1" s="37" customFormat="1" ht="10.5" customHeight="1" x14ac:dyDescent="0.2">
      <c r="A275" s="79"/>
    </row>
    <row r="276" spans="1:1" s="37" customFormat="1" ht="10.5" customHeight="1" x14ac:dyDescent="0.2">
      <c r="A276" s="79"/>
    </row>
    <row r="277" spans="1:1" s="37" customFormat="1" ht="10.5" customHeight="1" x14ac:dyDescent="0.2">
      <c r="A277" s="79"/>
    </row>
    <row r="278" spans="1:1" s="37" customFormat="1" ht="10.5" customHeight="1" x14ac:dyDescent="0.2">
      <c r="A278" s="79"/>
    </row>
    <row r="279" spans="1:1" s="37" customFormat="1" ht="10.5" customHeight="1" x14ac:dyDescent="0.2">
      <c r="A279" s="79"/>
    </row>
    <row r="280" spans="1:1" s="37" customFormat="1" ht="10.5" customHeight="1" x14ac:dyDescent="0.2">
      <c r="A280" s="79"/>
    </row>
    <row r="281" spans="1:1" s="37" customFormat="1" ht="10.5" customHeight="1" x14ac:dyDescent="0.2">
      <c r="A281" s="79"/>
    </row>
    <row r="282" spans="1:1" s="37" customFormat="1" ht="10.5" customHeight="1" x14ac:dyDescent="0.2">
      <c r="A282" s="79"/>
    </row>
    <row r="283" spans="1:1" s="37" customFormat="1" ht="10.5" customHeight="1" x14ac:dyDescent="0.2">
      <c r="A283" s="79"/>
    </row>
    <row r="284" spans="1:1" s="37" customFormat="1" ht="10.5" customHeight="1" x14ac:dyDescent="0.2">
      <c r="A284" s="79"/>
    </row>
    <row r="285" spans="1:1" s="37" customFormat="1" ht="10.5" customHeight="1" x14ac:dyDescent="0.2">
      <c r="A285" s="79"/>
    </row>
    <row r="286" spans="1:1" s="37" customFormat="1" ht="10.5" customHeight="1" x14ac:dyDescent="0.2">
      <c r="A286" s="79"/>
    </row>
    <row r="287" spans="1:1" s="37" customFormat="1" ht="10.5" customHeight="1" x14ac:dyDescent="0.2">
      <c r="A287" s="79"/>
    </row>
    <row r="288" spans="1:1" s="37" customFormat="1" ht="10.5" customHeight="1" x14ac:dyDescent="0.2">
      <c r="A288" s="79"/>
    </row>
    <row r="289" spans="1:1" s="37" customFormat="1" ht="10.5" customHeight="1" x14ac:dyDescent="0.2">
      <c r="A289" s="79"/>
    </row>
    <row r="290" spans="1:1" s="37" customFormat="1" ht="10.5" customHeight="1" x14ac:dyDescent="0.2">
      <c r="A290" s="79"/>
    </row>
    <row r="291" spans="1:1" s="37" customFormat="1" ht="10.5" customHeight="1" x14ac:dyDescent="0.2">
      <c r="A291" s="79"/>
    </row>
    <row r="292" spans="1:1" s="37" customFormat="1" ht="10.5" customHeight="1" x14ac:dyDescent="0.2">
      <c r="A292" s="79"/>
    </row>
    <row r="293" spans="1:1" s="37" customFormat="1" ht="10.5" customHeight="1" x14ac:dyDescent="0.2">
      <c r="A293" s="79"/>
    </row>
    <row r="294" spans="1:1" s="37" customFormat="1" ht="10.5" customHeight="1" x14ac:dyDescent="0.2">
      <c r="A294" s="79"/>
    </row>
    <row r="295" spans="1:1" s="37" customFormat="1" ht="10.5" customHeight="1" x14ac:dyDescent="0.2">
      <c r="A295" s="79"/>
    </row>
    <row r="296" spans="1:1" s="37" customFormat="1" ht="10.5" customHeight="1" x14ac:dyDescent="0.2">
      <c r="A296" s="79"/>
    </row>
    <row r="297" spans="1:1" s="37" customFormat="1" ht="10.5" customHeight="1" x14ac:dyDescent="0.2">
      <c r="A297" s="79"/>
    </row>
    <row r="298" spans="1:1" s="37" customFormat="1" ht="10.5" customHeight="1" x14ac:dyDescent="0.2">
      <c r="A298" s="79"/>
    </row>
    <row r="299" spans="1:1" s="37" customFormat="1" ht="10.5" customHeight="1" x14ac:dyDescent="0.2">
      <c r="A299" s="79"/>
    </row>
    <row r="300" spans="1:1" s="37" customFormat="1" ht="10.5" customHeight="1" x14ac:dyDescent="0.2">
      <c r="A300" s="79"/>
    </row>
    <row r="301" spans="1:1" s="37" customFormat="1" ht="10.5" customHeight="1" x14ac:dyDescent="0.2">
      <c r="A301" s="79"/>
    </row>
    <row r="302" spans="1:1" s="37" customFormat="1" ht="10.5" customHeight="1" x14ac:dyDescent="0.2">
      <c r="A302" s="79"/>
    </row>
    <row r="303" spans="1:1" s="37" customFormat="1" ht="10.5" customHeight="1" x14ac:dyDescent="0.2">
      <c r="A303" s="79"/>
    </row>
    <row r="304" spans="1:1" s="37" customFormat="1" ht="10.5" customHeight="1" x14ac:dyDescent="0.2">
      <c r="A304" s="79"/>
    </row>
    <row r="305" spans="1:1" s="37" customFormat="1" ht="10.5" customHeight="1" x14ac:dyDescent="0.2">
      <c r="A305" s="79"/>
    </row>
    <row r="306" spans="1:1" s="37" customFormat="1" ht="10.5" customHeight="1" x14ac:dyDescent="0.2">
      <c r="A306" s="79"/>
    </row>
    <row r="307" spans="1:1" s="37" customFormat="1" ht="10.5" customHeight="1" x14ac:dyDescent="0.2">
      <c r="A307" s="79"/>
    </row>
    <row r="308" spans="1:1" s="37" customFormat="1" ht="10.5" customHeight="1" x14ac:dyDescent="0.2">
      <c r="A308" s="79"/>
    </row>
    <row r="309" spans="1:1" s="37" customFormat="1" ht="10.5" customHeight="1" x14ac:dyDescent="0.2">
      <c r="A309" s="79"/>
    </row>
    <row r="310" spans="1:1" s="37" customFormat="1" ht="10.5" customHeight="1" x14ac:dyDescent="0.2">
      <c r="A310" s="79"/>
    </row>
    <row r="311" spans="1:1" s="37" customFormat="1" ht="10.5" customHeight="1" x14ac:dyDescent="0.2">
      <c r="A311" s="79"/>
    </row>
    <row r="312" spans="1:1" s="37" customFormat="1" ht="10.5" customHeight="1" x14ac:dyDescent="0.2">
      <c r="A312" s="79"/>
    </row>
    <row r="313" spans="1:1" s="37" customFormat="1" ht="10.5" customHeight="1" x14ac:dyDescent="0.2">
      <c r="A313" s="79"/>
    </row>
    <row r="314" spans="1:1" s="37" customFormat="1" ht="10.5" customHeight="1" x14ac:dyDescent="0.2">
      <c r="A314" s="79"/>
    </row>
    <row r="315" spans="1:1" s="37" customFormat="1" ht="10.5" customHeight="1" x14ac:dyDescent="0.2">
      <c r="A315" s="79"/>
    </row>
    <row r="316" spans="1:1" s="37" customFormat="1" ht="10.5" customHeight="1" x14ac:dyDescent="0.2">
      <c r="A316" s="79"/>
    </row>
    <row r="317" spans="1:1" s="37" customFormat="1" ht="10.5" customHeight="1" x14ac:dyDescent="0.2">
      <c r="A317" s="79"/>
    </row>
    <row r="318" spans="1:1" s="37" customFormat="1" ht="10.5" customHeight="1" x14ac:dyDescent="0.2">
      <c r="A318" s="79"/>
    </row>
    <row r="319" spans="1:1" s="37" customFormat="1" ht="10.5" customHeight="1" x14ac:dyDescent="0.2">
      <c r="A319" s="79"/>
    </row>
    <row r="320" spans="1:1" s="37" customFormat="1" ht="10.5" customHeight="1" x14ac:dyDescent="0.2">
      <c r="A320" s="79"/>
    </row>
    <row r="321" spans="1:1" s="37" customFormat="1" ht="10.5" customHeight="1" x14ac:dyDescent="0.2">
      <c r="A321" s="79"/>
    </row>
    <row r="322" spans="1:1" s="37" customFormat="1" ht="10.5" customHeight="1" x14ac:dyDescent="0.2">
      <c r="A322" s="79"/>
    </row>
    <row r="323" spans="1:1" s="37" customFormat="1" ht="10.5" customHeight="1" x14ac:dyDescent="0.2">
      <c r="A323" s="79"/>
    </row>
    <row r="324" spans="1:1" s="37" customFormat="1" ht="10.5" customHeight="1" x14ac:dyDescent="0.2">
      <c r="A324" s="79"/>
    </row>
    <row r="325" spans="1:1" s="37" customFormat="1" ht="10.5" customHeight="1" x14ac:dyDescent="0.2">
      <c r="A325" s="79"/>
    </row>
    <row r="326" spans="1:1" s="37" customFormat="1" ht="10.5" customHeight="1" x14ac:dyDescent="0.2">
      <c r="A326" s="79"/>
    </row>
    <row r="327" spans="1:1" s="37" customFormat="1" ht="10.5" customHeight="1" x14ac:dyDescent="0.2">
      <c r="A327" s="79"/>
    </row>
    <row r="328" spans="1:1" s="37" customFormat="1" ht="10.5" customHeight="1" x14ac:dyDescent="0.2">
      <c r="A328" s="79"/>
    </row>
    <row r="329" spans="1:1" s="37" customFormat="1" ht="10.5" customHeight="1" x14ac:dyDescent="0.2">
      <c r="A329" s="79"/>
    </row>
    <row r="330" spans="1:1" s="37" customFormat="1" ht="10.5" customHeight="1" x14ac:dyDescent="0.2">
      <c r="A330" s="79"/>
    </row>
    <row r="331" spans="1:1" s="37" customFormat="1" ht="10.5" customHeight="1" x14ac:dyDescent="0.2">
      <c r="A331" s="79"/>
    </row>
    <row r="332" spans="1:1" s="37" customFormat="1" ht="10.5" customHeight="1" x14ac:dyDescent="0.2">
      <c r="A332" s="79"/>
    </row>
    <row r="333" spans="1:1" s="37" customFormat="1" ht="10.5" customHeight="1" x14ac:dyDescent="0.2">
      <c r="A333" s="79"/>
    </row>
    <row r="334" spans="1:1" s="37" customFormat="1" ht="10.5" customHeight="1" x14ac:dyDescent="0.2">
      <c r="A334" s="79"/>
    </row>
    <row r="335" spans="1:1" s="37" customFormat="1" ht="10.5" customHeight="1" x14ac:dyDescent="0.2">
      <c r="A335" s="79"/>
    </row>
    <row r="336" spans="1:1" s="37" customFormat="1" ht="10.5" customHeight="1" x14ac:dyDescent="0.2">
      <c r="A336" s="79"/>
    </row>
    <row r="337" spans="1:1" s="37" customFormat="1" ht="10.5" customHeight="1" x14ac:dyDescent="0.2">
      <c r="A337" s="79"/>
    </row>
    <row r="338" spans="1:1" s="37" customFormat="1" ht="10.5" customHeight="1" x14ac:dyDescent="0.2">
      <c r="A338" s="79"/>
    </row>
    <row r="339" spans="1:1" s="37" customFormat="1" ht="10.5" customHeight="1" x14ac:dyDescent="0.2">
      <c r="A339" s="79"/>
    </row>
    <row r="340" spans="1:1" s="37" customFormat="1" ht="10.5" customHeight="1" x14ac:dyDescent="0.2">
      <c r="A340" s="79"/>
    </row>
    <row r="341" spans="1:1" s="37" customFormat="1" ht="10.5" customHeight="1" x14ac:dyDescent="0.2">
      <c r="A341" s="79"/>
    </row>
    <row r="342" spans="1:1" s="37" customFormat="1" ht="10.5" customHeight="1" x14ac:dyDescent="0.2">
      <c r="A342" s="79"/>
    </row>
    <row r="343" spans="1:1" s="37" customFormat="1" ht="10.5" customHeight="1" x14ac:dyDescent="0.2">
      <c r="A343" s="79"/>
    </row>
    <row r="344" spans="1:1" s="37" customFormat="1" ht="10.5" customHeight="1" x14ac:dyDescent="0.2">
      <c r="A344" s="79"/>
    </row>
    <row r="345" spans="1:1" s="37" customFormat="1" ht="10.5" customHeight="1" x14ac:dyDescent="0.2">
      <c r="A345" s="79"/>
    </row>
    <row r="346" spans="1:1" s="37" customFormat="1" ht="10.5" customHeight="1" x14ac:dyDescent="0.2">
      <c r="A346" s="79"/>
    </row>
    <row r="347" spans="1:1" s="37" customFormat="1" ht="10.5" customHeight="1" x14ac:dyDescent="0.2">
      <c r="A347" s="79"/>
    </row>
    <row r="348" spans="1:1" s="37" customFormat="1" ht="10.5" customHeight="1" x14ac:dyDescent="0.2">
      <c r="A348" s="79"/>
    </row>
    <row r="349" spans="1:1" s="37" customFormat="1" ht="10.5" customHeight="1" x14ac:dyDescent="0.2">
      <c r="A349" s="79"/>
    </row>
    <row r="350" spans="1:1" s="37" customFormat="1" ht="10.5" customHeight="1" x14ac:dyDescent="0.2">
      <c r="A350" s="79"/>
    </row>
    <row r="351" spans="1:1" s="37" customFormat="1" ht="10.5" customHeight="1" x14ac:dyDescent="0.2">
      <c r="A351" s="79"/>
    </row>
    <row r="352" spans="1:1" s="37" customFormat="1" ht="10.5" customHeight="1" x14ac:dyDescent="0.2">
      <c r="A352" s="79"/>
    </row>
    <row r="353" spans="1:1" s="37" customFormat="1" ht="10.5" customHeight="1" x14ac:dyDescent="0.2">
      <c r="A353" s="79"/>
    </row>
    <row r="354" spans="1:1" s="37" customFormat="1" ht="10.5" customHeight="1" x14ac:dyDescent="0.2">
      <c r="A354" s="79"/>
    </row>
    <row r="355" spans="1:1" s="37" customFormat="1" ht="10.5" customHeight="1" x14ac:dyDescent="0.2">
      <c r="A355" s="79"/>
    </row>
    <row r="356" spans="1:1" s="37" customFormat="1" ht="10.5" customHeight="1" x14ac:dyDescent="0.2">
      <c r="A356" s="79"/>
    </row>
    <row r="357" spans="1:1" s="37" customFormat="1" ht="10.5" customHeight="1" x14ac:dyDescent="0.2">
      <c r="A357" s="79"/>
    </row>
    <row r="358" spans="1:1" s="37" customFormat="1" ht="10.5" customHeight="1" x14ac:dyDescent="0.2">
      <c r="A358" s="79"/>
    </row>
    <row r="359" spans="1:1" s="37" customFormat="1" ht="10.5" customHeight="1" x14ac:dyDescent="0.2">
      <c r="A359" s="79"/>
    </row>
    <row r="360" spans="1:1" s="37" customFormat="1" ht="10.5" customHeight="1" x14ac:dyDescent="0.2">
      <c r="A360" s="79"/>
    </row>
    <row r="361" spans="1:1" s="37" customFormat="1" ht="10.5" customHeight="1" x14ac:dyDescent="0.2">
      <c r="A361" s="79"/>
    </row>
    <row r="362" spans="1:1" s="37" customFormat="1" ht="10.5" customHeight="1" x14ac:dyDescent="0.2">
      <c r="A362" s="79"/>
    </row>
    <row r="363" spans="1:1" s="37" customFormat="1" ht="10.5" customHeight="1" x14ac:dyDescent="0.2">
      <c r="A363" s="79"/>
    </row>
    <row r="364" spans="1:1" s="37" customFormat="1" ht="10.5" customHeight="1" x14ac:dyDescent="0.2">
      <c r="A364" s="79"/>
    </row>
    <row r="365" spans="1:1" s="37" customFormat="1" ht="10.5" customHeight="1" x14ac:dyDescent="0.2">
      <c r="A365" s="79"/>
    </row>
    <row r="366" spans="1:1" s="37" customFormat="1" ht="10.5" customHeight="1" x14ac:dyDescent="0.2">
      <c r="A366" s="79"/>
    </row>
    <row r="367" spans="1:1" s="37" customFormat="1" ht="10.5" customHeight="1" x14ac:dyDescent="0.2">
      <c r="A367" s="79"/>
    </row>
    <row r="368" spans="1:1" s="37" customFormat="1" ht="10.5" customHeight="1" x14ac:dyDescent="0.2">
      <c r="A368" s="79"/>
    </row>
    <row r="369" spans="1:1" s="37" customFormat="1" ht="10.5" customHeight="1" x14ac:dyDescent="0.2">
      <c r="A369" s="79"/>
    </row>
    <row r="370" spans="1:1" s="37" customFormat="1" ht="10.5" customHeight="1" x14ac:dyDescent="0.2">
      <c r="A370" s="79"/>
    </row>
    <row r="371" spans="1:1" s="37" customFormat="1" ht="10.5" customHeight="1" x14ac:dyDescent="0.2">
      <c r="A371" s="79"/>
    </row>
    <row r="372" spans="1:1" s="37" customFormat="1" ht="10.5" customHeight="1" x14ac:dyDescent="0.2">
      <c r="A372" s="79"/>
    </row>
    <row r="373" spans="1:1" s="37" customFormat="1" ht="10.5" customHeight="1" x14ac:dyDescent="0.2">
      <c r="A373" s="79"/>
    </row>
    <row r="374" spans="1:1" s="37" customFormat="1" ht="10.5" customHeight="1" x14ac:dyDescent="0.2">
      <c r="A374" s="79"/>
    </row>
    <row r="375" spans="1:1" s="37" customFormat="1" ht="10.5" customHeight="1" x14ac:dyDescent="0.2">
      <c r="A375" s="79"/>
    </row>
    <row r="376" spans="1:1" s="37" customFormat="1" ht="10.5" customHeight="1" x14ac:dyDescent="0.2">
      <c r="A376" s="79"/>
    </row>
    <row r="377" spans="1:1" s="37" customFormat="1" ht="10.5" customHeight="1" x14ac:dyDescent="0.2">
      <c r="A377" s="79"/>
    </row>
    <row r="378" spans="1:1" s="37" customFormat="1" ht="10.5" customHeight="1" x14ac:dyDescent="0.2">
      <c r="A378" s="79"/>
    </row>
    <row r="379" spans="1:1" s="37" customFormat="1" ht="10.5" customHeight="1" x14ac:dyDescent="0.2">
      <c r="A379" s="79"/>
    </row>
    <row r="380" spans="1:1" s="37" customFormat="1" ht="10.5" customHeight="1" x14ac:dyDescent="0.2">
      <c r="A380" s="79"/>
    </row>
    <row r="381" spans="1:1" s="37" customFormat="1" ht="10.5" customHeight="1" x14ac:dyDescent="0.2">
      <c r="A381" s="79"/>
    </row>
    <row r="382" spans="1:1" s="37" customFormat="1" ht="10.5" customHeight="1" x14ac:dyDescent="0.2">
      <c r="A382" s="79"/>
    </row>
    <row r="383" spans="1:1" s="37" customFormat="1" ht="10.5" customHeight="1" x14ac:dyDescent="0.2">
      <c r="A383" s="79"/>
    </row>
    <row r="384" spans="1:1" s="37" customFormat="1" ht="10.5" customHeight="1" x14ac:dyDescent="0.2">
      <c r="A384" s="79"/>
    </row>
    <row r="385" spans="1:1" s="37" customFormat="1" ht="10.5" customHeight="1" x14ac:dyDescent="0.2">
      <c r="A385" s="79"/>
    </row>
    <row r="386" spans="1:1" s="37" customFormat="1" ht="10.5" customHeight="1" x14ac:dyDescent="0.2">
      <c r="A386" s="79"/>
    </row>
    <row r="387" spans="1:1" s="37" customFormat="1" ht="10.5" customHeight="1" x14ac:dyDescent="0.2">
      <c r="A387" s="79"/>
    </row>
    <row r="388" spans="1:1" s="37" customFormat="1" ht="10.5" customHeight="1" x14ac:dyDescent="0.2">
      <c r="A388" s="79"/>
    </row>
    <row r="389" spans="1:1" s="37" customFormat="1" ht="10.5" customHeight="1" x14ac:dyDescent="0.2">
      <c r="A389" s="79"/>
    </row>
    <row r="390" spans="1:1" s="37" customFormat="1" ht="10.5" customHeight="1" x14ac:dyDescent="0.2">
      <c r="A390" s="79"/>
    </row>
    <row r="391" spans="1:1" s="37" customFormat="1" ht="10.5" customHeight="1" x14ac:dyDescent="0.2">
      <c r="A391" s="79"/>
    </row>
    <row r="392" spans="1:1" s="37" customFormat="1" ht="10.5" customHeight="1" x14ac:dyDescent="0.2">
      <c r="A392" s="79"/>
    </row>
    <row r="393" spans="1:1" s="37" customFormat="1" ht="10.5" customHeight="1" x14ac:dyDescent="0.2">
      <c r="A393" s="79"/>
    </row>
    <row r="394" spans="1:1" s="37" customFormat="1" ht="10.5" customHeight="1" x14ac:dyDescent="0.2">
      <c r="A394" s="79"/>
    </row>
    <row r="395" spans="1:1" s="37" customFormat="1" ht="10.5" customHeight="1" x14ac:dyDescent="0.2">
      <c r="A395" s="79"/>
    </row>
    <row r="396" spans="1:1" s="37" customFormat="1" ht="10.5" customHeight="1" x14ac:dyDescent="0.2">
      <c r="A396" s="79"/>
    </row>
    <row r="397" spans="1:1" s="37" customFormat="1" ht="10.5" customHeight="1" x14ac:dyDescent="0.2">
      <c r="A397" s="79"/>
    </row>
    <row r="398" spans="1:1" s="37" customFormat="1" ht="10.5" customHeight="1" x14ac:dyDescent="0.2">
      <c r="A398" s="79"/>
    </row>
    <row r="399" spans="1:1" s="37" customFormat="1" ht="10.5" customHeight="1" x14ac:dyDescent="0.2">
      <c r="A399" s="79"/>
    </row>
    <row r="400" spans="1:1" s="37" customFormat="1" ht="10.5" customHeight="1" x14ac:dyDescent="0.2">
      <c r="A400" s="79"/>
    </row>
    <row r="401" spans="1:1" s="37" customFormat="1" ht="10.5" customHeight="1" x14ac:dyDescent="0.2">
      <c r="A401" s="79"/>
    </row>
    <row r="402" spans="1:1" s="37" customFormat="1" ht="10.5" customHeight="1" x14ac:dyDescent="0.2">
      <c r="A402" s="79"/>
    </row>
    <row r="403" spans="1:1" s="37" customFormat="1" ht="10.5" customHeight="1" x14ac:dyDescent="0.2">
      <c r="A403" s="79"/>
    </row>
    <row r="404" spans="1:1" s="37" customFormat="1" ht="10.5" customHeight="1" x14ac:dyDescent="0.2">
      <c r="A404" s="79"/>
    </row>
    <row r="405" spans="1:1" s="37" customFormat="1" ht="10.5" customHeight="1" x14ac:dyDescent="0.2">
      <c r="A405" s="79"/>
    </row>
    <row r="406" spans="1:1" s="37" customFormat="1" ht="10.5" customHeight="1" x14ac:dyDescent="0.2">
      <c r="A406" s="79"/>
    </row>
    <row r="407" spans="1:1" s="37" customFormat="1" ht="10.5" customHeight="1" x14ac:dyDescent="0.2">
      <c r="A407" s="79"/>
    </row>
    <row r="408" spans="1:1" s="37" customFormat="1" ht="10.5" customHeight="1" x14ac:dyDescent="0.2">
      <c r="A408" s="79"/>
    </row>
    <row r="409" spans="1:1" s="37" customFormat="1" ht="10.5" customHeight="1" x14ac:dyDescent="0.2">
      <c r="A409" s="79"/>
    </row>
    <row r="410" spans="1:1" s="37" customFormat="1" ht="10.5" customHeight="1" x14ac:dyDescent="0.2">
      <c r="A410" s="79"/>
    </row>
    <row r="411" spans="1:1" s="37" customFormat="1" ht="10.5" customHeight="1" x14ac:dyDescent="0.2">
      <c r="A411" s="79"/>
    </row>
    <row r="412" spans="1:1" s="37" customFormat="1" ht="10.5" customHeight="1" x14ac:dyDescent="0.2">
      <c r="A412" s="79"/>
    </row>
    <row r="413" spans="1:1" s="37" customFormat="1" ht="10.5" customHeight="1" x14ac:dyDescent="0.2">
      <c r="A413" s="79"/>
    </row>
    <row r="414" spans="1:1" s="37" customFormat="1" ht="10.5" customHeight="1" x14ac:dyDescent="0.2">
      <c r="A414" s="79"/>
    </row>
    <row r="415" spans="1:1" s="37" customFormat="1" ht="10.5" customHeight="1" x14ac:dyDescent="0.2">
      <c r="A415" s="79"/>
    </row>
    <row r="416" spans="1:1" s="37" customFormat="1" ht="10.5" customHeight="1" x14ac:dyDescent="0.2">
      <c r="A416" s="79"/>
    </row>
    <row r="417" spans="1:1" s="37" customFormat="1" ht="10.5" customHeight="1" x14ac:dyDescent="0.2">
      <c r="A417" s="79"/>
    </row>
    <row r="418" spans="1:1" s="37" customFormat="1" ht="10.5" customHeight="1" x14ac:dyDescent="0.2">
      <c r="A418" s="79"/>
    </row>
    <row r="419" spans="1:1" s="37" customFormat="1" ht="10.5" customHeight="1" x14ac:dyDescent="0.2">
      <c r="A419" s="79"/>
    </row>
    <row r="420" spans="1:1" s="37" customFormat="1" ht="10.5" customHeight="1" x14ac:dyDescent="0.2">
      <c r="A420" s="79"/>
    </row>
    <row r="421" spans="1:1" s="37" customFormat="1" ht="10.5" customHeight="1" x14ac:dyDescent="0.2">
      <c r="A421" s="79"/>
    </row>
    <row r="422" spans="1:1" s="37" customFormat="1" ht="10.5" customHeight="1" x14ac:dyDescent="0.2">
      <c r="A422" s="79"/>
    </row>
    <row r="423" spans="1:1" s="37" customFormat="1" ht="10.5" customHeight="1" x14ac:dyDescent="0.2">
      <c r="A423" s="79"/>
    </row>
    <row r="424" spans="1:1" s="37" customFormat="1" ht="10.5" customHeight="1" x14ac:dyDescent="0.2">
      <c r="A424" s="79"/>
    </row>
    <row r="425" spans="1:1" s="37" customFormat="1" ht="10.5" customHeight="1" x14ac:dyDescent="0.2">
      <c r="A425" s="79"/>
    </row>
    <row r="426" spans="1:1" s="37" customFormat="1" ht="10.5" customHeight="1" x14ac:dyDescent="0.2">
      <c r="A426" s="79"/>
    </row>
    <row r="427" spans="1:1" s="37" customFormat="1" ht="10.5" customHeight="1" x14ac:dyDescent="0.2">
      <c r="A427" s="79"/>
    </row>
    <row r="428" spans="1:1" s="37" customFormat="1" ht="10.5" customHeight="1" x14ac:dyDescent="0.2">
      <c r="A428" s="79"/>
    </row>
    <row r="429" spans="1:1" s="37" customFormat="1" ht="10.5" customHeight="1" x14ac:dyDescent="0.2">
      <c r="A429" s="79"/>
    </row>
    <row r="430" spans="1:1" s="37" customFormat="1" ht="10.5" customHeight="1" x14ac:dyDescent="0.2">
      <c r="A430" s="79"/>
    </row>
    <row r="431" spans="1:1" s="37" customFormat="1" ht="10.5" customHeight="1" x14ac:dyDescent="0.2">
      <c r="A431" s="79"/>
    </row>
    <row r="432" spans="1:1" s="37" customFormat="1" ht="10.5" customHeight="1" x14ac:dyDescent="0.2">
      <c r="A432" s="79"/>
    </row>
    <row r="433" spans="1:1" s="37" customFormat="1" ht="10.5" customHeight="1" x14ac:dyDescent="0.2">
      <c r="A433" s="79"/>
    </row>
    <row r="434" spans="1:1" s="37" customFormat="1" ht="10.5" customHeight="1" x14ac:dyDescent="0.2">
      <c r="A434" s="79"/>
    </row>
    <row r="435" spans="1:1" s="37" customFormat="1" ht="10.5" customHeight="1" x14ac:dyDescent="0.2">
      <c r="A435" s="79"/>
    </row>
    <row r="436" spans="1:1" s="37" customFormat="1" ht="10.5" customHeight="1" x14ac:dyDescent="0.2">
      <c r="A436" s="79"/>
    </row>
    <row r="437" spans="1:1" s="37" customFormat="1" ht="10.5" customHeight="1" x14ac:dyDescent="0.2">
      <c r="A437" s="79"/>
    </row>
    <row r="438" spans="1:1" s="37" customFormat="1" ht="10.5" customHeight="1" x14ac:dyDescent="0.2">
      <c r="A438" s="79"/>
    </row>
    <row r="439" spans="1:1" s="37" customFormat="1" ht="10.5" customHeight="1" x14ac:dyDescent="0.2">
      <c r="A439" s="79"/>
    </row>
    <row r="440" spans="1:1" s="37" customFormat="1" ht="10.5" customHeight="1" x14ac:dyDescent="0.2">
      <c r="A440" s="79"/>
    </row>
    <row r="441" spans="1:1" s="37" customFormat="1" ht="10.5" customHeight="1" x14ac:dyDescent="0.2">
      <c r="A441" s="79"/>
    </row>
    <row r="442" spans="1:1" s="37" customFormat="1" ht="10.5" customHeight="1" x14ac:dyDescent="0.2">
      <c r="A442" s="79"/>
    </row>
    <row r="443" spans="1:1" s="37" customFormat="1" ht="10.5" customHeight="1" x14ac:dyDescent="0.2">
      <c r="A443" s="79"/>
    </row>
    <row r="444" spans="1:1" s="37" customFormat="1" ht="10.5" customHeight="1" x14ac:dyDescent="0.2">
      <c r="A444" s="79"/>
    </row>
    <row r="445" spans="1:1" s="37" customFormat="1" ht="10.5" customHeight="1" x14ac:dyDescent="0.2">
      <c r="A445" s="79"/>
    </row>
    <row r="446" spans="1:1" s="37" customFormat="1" ht="10.5" customHeight="1" x14ac:dyDescent="0.2">
      <c r="A446" s="79"/>
    </row>
    <row r="447" spans="1:1" s="37" customFormat="1" ht="10.5" customHeight="1" x14ac:dyDescent="0.2">
      <c r="A447" s="79"/>
    </row>
    <row r="448" spans="1:1" s="37" customFormat="1" ht="10.5" customHeight="1" x14ac:dyDescent="0.2">
      <c r="A448" s="79"/>
    </row>
    <row r="449" spans="1:1" s="37" customFormat="1" ht="10.5" customHeight="1" x14ac:dyDescent="0.2">
      <c r="A449" s="79"/>
    </row>
    <row r="450" spans="1:1" s="37" customFormat="1" ht="10.5" customHeight="1" x14ac:dyDescent="0.2">
      <c r="A450" s="79"/>
    </row>
    <row r="451" spans="1:1" s="37" customFormat="1" ht="10.5" customHeight="1" x14ac:dyDescent="0.2">
      <c r="A451" s="79"/>
    </row>
    <row r="452" spans="1:1" s="37" customFormat="1" ht="10.5" customHeight="1" x14ac:dyDescent="0.2">
      <c r="A452" s="79"/>
    </row>
    <row r="453" spans="1:1" s="37" customFormat="1" ht="10.5" customHeight="1" x14ac:dyDescent="0.2">
      <c r="A453" s="79"/>
    </row>
    <row r="454" spans="1:1" s="37" customFormat="1" ht="10.5" customHeight="1" x14ac:dyDescent="0.2">
      <c r="A454" s="79"/>
    </row>
    <row r="455" spans="1:1" s="37" customFormat="1" ht="10.5" customHeight="1" x14ac:dyDescent="0.2">
      <c r="A455" s="79"/>
    </row>
    <row r="456" spans="1:1" s="37" customFormat="1" ht="10.5" customHeight="1" x14ac:dyDescent="0.2">
      <c r="A456" s="79"/>
    </row>
    <row r="457" spans="1:1" s="37" customFormat="1" ht="10.5" customHeight="1" x14ac:dyDescent="0.2">
      <c r="A457" s="79"/>
    </row>
    <row r="458" spans="1:1" s="37" customFormat="1" ht="10.5" customHeight="1" x14ac:dyDescent="0.2">
      <c r="A458" s="79"/>
    </row>
    <row r="459" spans="1:1" s="37" customFormat="1" ht="10.5" customHeight="1" x14ac:dyDescent="0.2">
      <c r="A459" s="79"/>
    </row>
    <row r="460" spans="1:1" s="37" customFormat="1" ht="10.5" customHeight="1" x14ac:dyDescent="0.2">
      <c r="A460" s="79"/>
    </row>
    <row r="461" spans="1:1" s="37" customFormat="1" ht="10.5" customHeight="1" x14ac:dyDescent="0.2">
      <c r="A461" s="79"/>
    </row>
    <row r="462" spans="1:1" s="37" customFormat="1" ht="10.5" customHeight="1" x14ac:dyDescent="0.2">
      <c r="A462" s="79"/>
    </row>
    <row r="463" spans="1:1" s="37" customFormat="1" ht="10.5" customHeight="1" x14ac:dyDescent="0.2">
      <c r="A463" s="79"/>
    </row>
    <row r="464" spans="1:1" s="37" customFormat="1" ht="10.5" customHeight="1" x14ac:dyDescent="0.2">
      <c r="A464" s="79"/>
    </row>
    <row r="465" spans="1:1" s="37" customFormat="1" ht="10.5" customHeight="1" x14ac:dyDescent="0.2">
      <c r="A465" s="79"/>
    </row>
    <row r="466" spans="1:1" s="37" customFormat="1" ht="10.5" customHeight="1" x14ac:dyDescent="0.2">
      <c r="A466" s="79"/>
    </row>
    <row r="467" spans="1:1" s="37" customFormat="1" ht="10.5" customHeight="1" x14ac:dyDescent="0.2">
      <c r="A467" s="79"/>
    </row>
    <row r="468" spans="1:1" s="37" customFormat="1" ht="10.5" customHeight="1" x14ac:dyDescent="0.2">
      <c r="A468" s="79"/>
    </row>
    <row r="469" spans="1:1" s="37" customFormat="1" ht="10.5" customHeight="1" x14ac:dyDescent="0.2">
      <c r="A469" s="79"/>
    </row>
    <row r="470" spans="1:1" s="37" customFormat="1" ht="10.5" customHeight="1" x14ac:dyDescent="0.2">
      <c r="A470" s="79"/>
    </row>
    <row r="471" spans="1:1" s="37" customFormat="1" ht="10.5" customHeight="1" x14ac:dyDescent="0.2">
      <c r="A471" s="79"/>
    </row>
    <row r="472" spans="1:1" s="37" customFormat="1" ht="10.5" customHeight="1" x14ac:dyDescent="0.2">
      <c r="A472" s="79"/>
    </row>
    <row r="473" spans="1:1" s="37" customFormat="1" ht="10.5" customHeight="1" x14ac:dyDescent="0.2">
      <c r="A473" s="79"/>
    </row>
    <row r="474" spans="1:1" s="37" customFormat="1" ht="10.5" customHeight="1" x14ac:dyDescent="0.2">
      <c r="A474" s="79"/>
    </row>
    <row r="475" spans="1:1" s="37" customFormat="1" ht="10.5" customHeight="1" x14ac:dyDescent="0.2">
      <c r="A475" s="79"/>
    </row>
    <row r="476" spans="1:1" s="37" customFormat="1" ht="10.5" customHeight="1" x14ac:dyDescent="0.2">
      <c r="A476" s="79"/>
    </row>
    <row r="477" spans="1:1" s="37" customFormat="1" ht="10.5" customHeight="1" x14ac:dyDescent="0.2">
      <c r="A477" s="79"/>
    </row>
    <row r="478" spans="1:1" s="37" customFormat="1" ht="10.5" customHeight="1" x14ac:dyDescent="0.2">
      <c r="A478" s="79"/>
    </row>
    <row r="479" spans="1:1" s="37" customFormat="1" ht="10.5" customHeight="1" x14ac:dyDescent="0.2">
      <c r="A479" s="79"/>
    </row>
    <row r="480" spans="1:1" s="37" customFormat="1" ht="10.5" customHeight="1" x14ac:dyDescent="0.2">
      <c r="A480" s="79"/>
    </row>
    <row r="481" spans="1:1" s="37" customFormat="1" ht="10.5" customHeight="1" x14ac:dyDescent="0.2">
      <c r="A481" s="79"/>
    </row>
    <row r="482" spans="1:1" s="37" customFormat="1" ht="10.5" customHeight="1" x14ac:dyDescent="0.2">
      <c r="A482" s="79"/>
    </row>
    <row r="483" spans="1:1" s="37" customFormat="1" ht="10.5" customHeight="1" x14ac:dyDescent="0.2">
      <c r="A483" s="79"/>
    </row>
    <row r="484" spans="1:1" s="37" customFormat="1" ht="10.5" customHeight="1" x14ac:dyDescent="0.2">
      <c r="A484" s="79"/>
    </row>
    <row r="485" spans="1:1" s="37" customFormat="1" ht="10.5" customHeight="1" x14ac:dyDescent="0.2">
      <c r="A485" s="79"/>
    </row>
    <row r="486" spans="1:1" s="37" customFormat="1" ht="10.5" customHeight="1" x14ac:dyDescent="0.2">
      <c r="A486" s="79"/>
    </row>
    <row r="487" spans="1:1" s="37" customFormat="1" ht="10.5" customHeight="1" x14ac:dyDescent="0.2">
      <c r="A487" s="79"/>
    </row>
    <row r="488" spans="1:1" s="37" customFormat="1" ht="10.5" customHeight="1" x14ac:dyDescent="0.2">
      <c r="A488" s="79"/>
    </row>
    <row r="489" spans="1:1" s="37" customFormat="1" ht="10.5" customHeight="1" x14ac:dyDescent="0.2">
      <c r="A489" s="79"/>
    </row>
    <row r="490" spans="1:1" s="37" customFormat="1" ht="10.5" customHeight="1" x14ac:dyDescent="0.2">
      <c r="A490" s="79"/>
    </row>
    <row r="491" spans="1:1" s="37" customFormat="1" ht="10.5" customHeight="1" x14ac:dyDescent="0.2">
      <c r="A491" s="79"/>
    </row>
    <row r="492" spans="1:1" s="37" customFormat="1" ht="10.5" customHeight="1" x14ac:dyDescent="0.2">
      <c r="A492" s="79"/>
    </row>
    <row r="493" spans="1:1" s="37" customFormat="1" ht="10.5" customHeight="1" x14ac:dyDescent="0.2">
      <c r="A493" s="79"/>
    </row>
    <row r="494" spans="1:1" s="37" customFormat="1" ht="10.5" customHeight="1" x14ac:dyDescent="0.2">
      <c r="A494" s="79"/>
    </row>
    <row r="495" spans="1:1" s="37" customFormat="1" ht="10.5" customHeight="1" x14ac:dyDescent="0.2">
      <c r="A495" s="79"/>
    </row>
    <row r="496" spans="1:1" s="37" customFormat="1" ht="10.5" customHeight="1" x14ac:dyDescent="0.2">
      <c r="A496" s="79"/>
    </row>
    <row r="497" spans="1:1" s="37" customFormat="1" ht="10.5" customHeight="1" x14ac:dyDescent="0.2">
      <c r="A497" s="79"/>
    </row>
    <row r="498" spans="1:1" s="37" customFormat="1" ht="10.5" customHeight="1" x14ac:dyDescent="0.2">
      <c r="A498" s="79"/>
    </row>
    <row r="499" spans="1:1" s="37" customFormat="1" ht="10.5" customHeight="1" x14ac:dyDescent="0.2">
      <c r="A499" s="79"/>
    </row>
    <row r="500" spans="1:1" s="37" customFormat="1" ht="10.5" customHeight="1" x14ac:dyDescent="0.2">
      <c r="A500" s="79"/>
    </row>
    <row r="501" spans="1:1" s="37" customFormat="1" ht="10.5" customHeight="1" x14ac:dyDescent="0.2">
      <c r="A501" s="79"/>
    </row>
    <row r="502" spans="1:1" s="37" customFormat="1" ht="10.5" customHeight="1" x14ac:dyDescent="0.2">
      <c r="A502" s="79"/>
    </row>
    <row r="503" spans="1:1" s="37" customFormat="1" ht="10.5" customHeight="1" x14ac:dyDescent="0.2">
      <c r="A503" s="79"/>
    </row>
    <row r="504" spans="1:1" s="37" customFormat="1" ht="10.5" customHeight="1" x14ac:dyDescent="0.2">
      <c r="A504" s="79"/>
    </row>
    <row r="505" spans="1:1" s="37" customFormat="1" ht="10.5" customHeight="1" x14ac:dyDescent="0.2">
      <c r="A505" s="79"/>
    </row>
    <row r="506" spans="1:1" s="37" customFormat="1" ht="10.5" customHeight="1" x14ac:dyDescent="0.2">
      <c r="A506" s="79"/>
    </row>
    <row r="507" spans="1:1" s="37" customFormat="1" ht="10.5" customHeight="1" x14ac:dyDescent="0.2">
      <c r="A507" s="79"/>
    </row>
    <row r="508" spans="1:1" s="37" customFormat="1" ht="10.5" customHeight="1" x14ac:dyDescent="0.2">
      <c r="A508" s="79"/>
    </row>
    <row r="509" spans="1:1" s="37" customFormat="1" ht="10.5" customHeight="1" x14ac:dyDescent="0.2">
      <c r="A509" s="79"/>
    </row>
    <row r="510" spans="1:1" s="37" customFormat="1" ht="10.5" customHeight="1" x14ac:dyDescent="0.2">
      <c r="A510" s="79"/>
    </row>
    <row r="511" spans="1:1" s="37" customFormat="1" ht="10.5" customHeight="1" x14ac:dyDescent="0.2">
      <c r="A511" s="79"/>
    </row>
    <row r="512" spans="1:1" s="37" customFormat="1" ht="10.5" customHeight="1" x14ac:dyDescent="0.2">
      <c r="A512" s="79"/>
    </row>
    <row r="513" spans="1:1" s="37" customFormat="1" ht="10.5" customHeight="1" x14ac:dyDescent="0.2">
      <c r="A513" s="79"/>
    </row>
    <row r="514" spans="1:1" s="37" customFormat="1" ht="10.5" customHeight="1" x14ac:dyDescent="0.2">
      <c r="A514" s="79"/>
    </row>
    <row r="515" spans="1:1" s="37" customFormat="1" ht="10.5" customHeight="1" x14ac:dyDescent="0.2">
      <c r="A515" s="79"/>
    </row>
    <row r="516" spans="1:1" s="37" customFormat="1" ht="10.5" customHeight="1" x14ac:dyDescent="0.2">
      <c r="A516" s="79"/>
    </row>
    <row r="517" spans="1:1" s="37" customFormat="1" ht="10.5" customHeight="1" x14ac:dyDescent="0.2">
      <c r="A517" s="79"/>
    </row>
    <row r="518" spans="1:1" s="37" customFormat="1" ht="10.5" customHeight="1" x14ac:dyDescent="0.2">
      <c r="A518" s="79"/>
    </row>
    <row r="519" spans="1:1" s="37" customFormat="1" ht="10.5" customHeight="1" x14ac:dyDescent="0.2">
      <c r="A519" s="79"/>
    </row>
    <row r="520" spans="1:1" s="37" customFormat="1" ht="10.5" customHeight="1" x14ac:dyDescent="0.2">
      <c r="A520" s="79"/>
    </row>
    <row r="521" spans="1:1" s="37" customFormat="1" ht="10.5" customHeight="1" x14ac:dyDescent="0.2">
      <c r="A521" s="79"/>
    </row>
    <row r="522" spans="1:1" s="37" customFormat="1" ht="10.5" customHeight="1" x14ac:dyDescent="0.2">
      <c r="A522" s="79"/>
    </row>
    <row r="523" spans="1:1" s="37" customFormat="1" ht="10.5" customHeight="1" x14ac:dyDescent="0.2">
      <c r="A523" s="79"/>
    </row>
    <row r="524" spans="1:1" s="37" customFormat="1" ht="10.5" customHeight="1" x14ac:dyDescent="0.2">
      <c r="A524" s="79"/>
    </row>
    <row r="525" spans="1:1" s="37" customFormat="1" ht="10.5" customHeight="1" x14ac:dyDescent="0.2">
      <c r="A525" s="79"/>
    </row>
    <row r="526" spans="1:1" s="37" customFormat="1" ht="10.5" customHeight="1" x14ac:dyDescent="0.2">
      <c r="A526" s="79"/>
    </row>
    <row r="527" spans="1:1" s="37" customFormat="1" ht="10.5" customHeight="1" x14ac:dyDescent="0.2">
      <c r="A527" s="79"/>
    </row>
    <row r="528" spans="1:1" s="37" customFormat="1" ht="10.5" customHeight="1" x14ac:dyDescent="0.2">
      <c r="A528" s="79"/>
    </row>
    <row r="529" spans="1:33" s="37" customFormat="1" ht="10.5" customHeight="1" x14ac:dyDescent="0.2">
      <c r="A529" s="79"/>
    </row>
    <row r="530" spans="1:33" s="37" customFormat="1" ht="10.5" customHeight="1" x14ac:dyDescent="0.2">
      <c r="A530" s="79"/>
    </row>
    <row r="531" spans="1:33" s="37" customFormat="1" ht="10.5" customHeight="1" x14ac:dyDescent="0.2">
      <c r="A531" s="79"/>
    </row>
    <row r="532" spans="1:33" s="37" customFormat="1" ht="10.5" customHeight="1" x14ac:dyDescent="0.2">
      <c r="A532" s="79"/>
    </row>
    <row r="533" spans="1:33" ht="10.5" customHeight="1" x14ac:dyDescent="0.2">
      <c r="A533" s="8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2021-04-15T07:53:38Z</dcterms:modified>
</cp:coreProperties>
</file>