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205" firstSheet="1" activeTab="9"/>
  </bookViews>
  <sheets>
    <sheet name="1 Д 1 Н" sheetId="1" r:id="rId1"/>
    <sheet name="2Д 1Н" sheetId="2" r:id="rId2"/>
    <sheet name="3Д 1Н" sheetId="3" r:id="rId3"/>
    <sheet name="4Д 1Н" sheetId="4" r:id="rId4"/>
    <sheet name="5Д 1Н" sheetId="5" r:id="rId5"/>
    <sheet name="1Д 2Н" sheetId="6" r:id="rId6"/>
    <sheet name="2Д 2Н" sheetId="7" r:id="rId7"/>
    <sheet name="3Д 2Н" sheetId="8" r:id="rId8"/>
    <sheet name="4 Д 2Н" sheetId="9" r:id="rId9"/>
    <sheet name="5 Д2Н" sheetId="10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0"/>
  <c r="E31"/>
  <c r="E17"/>
  <c r="E36" i="9"/>
  <c r="E30"/>
  <c r="E14"/>
  <c r="E17" s="1"/>
  <c r="E38" i="8"/>
  <c r="E32"/>
  <c r="E18"/>
  <c r="E36" i="7"/>
  <c r="E39" s="1"/>
  <c r="E30"/>
  <c r="E17"/>
  <c r="E37" i="6"/>
  <c r="E40" s="1"/>
  <c r="E32"/>
  <c r="E17"/>
  <c r="E40" i="5"/>
  <c r="E25"/>
  <c r="E30" s="1"/>
  <c r="E16"/>
  <c r="E35" i="4"/>
  <c r="E38" s="1"/>
  <c r="E30"/>
  <c r="E17"/>
  <c r="E33" i="2"/>
  <c r="F33" i="1"/>
  <c r="E28" i="3" l="1"/>
  <c r="C28"/>
  <c r="D35"/>
  <c r="E35"/>
  <c r="C35"/>
  <c r="E15"/>
  <c r="E35" i="2"/>
  <c r="C35"/>
  <c r="E28"/>
  <c r="C28"/>
  <c r="E15"/>
  <c r="E36" i="1"/>
  <c r="F36"/>
  <c r="C36"/>
  <c r="E28"/>
  <c r="F28"/>
  <c r="C28"/>
  <c r="E15"/>
  <c r="F15"/>
  <c r="C15"/>
  <c r="D25" i="3" l="1"/>
  <c r="D4" i="10" l="1"/>
  <c r="D4" i="9"/>
  <c r="D4" i="8"/>
  <c r="D4" i="7"/>
  <c r="D4" i="6"/>
  <c r="D2" i="5"/>
  <c r="D2" i="10" s="1"/>
  <c r="D3" i="5"/>
  <c r="D3" i="9" s="1"/>
  <c r="D1" i="5"/>
  <c r="D1" i="10" s="1"/>
  <c r="C2" i="4"/>
  <c r="C3"/>
  <c r="D1"/>
  <c r="C2" i="3"/>
  <c r="C3"/>
  <c r="C4"/>
  <c r="C4" i="2"/>
  <c r="C3"/>
  <c r="C2"/>
  <c r="D1" i="6" l="1"/>
  <c r="D1" i="7"/>
  <c r="D1" i="8"/>
  <c r="D1" i="9"/>
  <c r="D3" i="10"/>
  <c r="D3" i="6"/>
  <c r="D3" i="7"/>
  <c r="D3" i="8"/>
  <c r="D2" i="6"/>
  <c r="D2" i="7"/>
  <c r="D2" i="8"/>
  <c r="D2" i="9"/>
  <c r="A41" i="10"/>
  <c r="A42" i="9"/>
  <c r="A43" i="8"/>
  <c r="A42" i="7"/>
  <c r="A43" i="6"/>
  <c r="A44" i="5"/>
  <c r="A40" i="4"/>
  <c r="A37" i="3"/>
  <c r="A38" i="2"/>
  <c r="D38" i="10" l="1"/>
  <c r="D39" s="1"/>
  <c r="D25"/>
  <c r="D24"/>
  <c r="D23"/>
  <c r="D31" s="1"/>
  <c r="D13"/>
  <c r="D12"/>
  <c r="D11"/>
  <c r="D26" i="9"/>
  <c r="D25"/>
  <c r="D24"/>
  <c r="D23"/>
  <c r="D13"/>
  <c r="D11"/>
  <c r="D26" i="8"/>
  <c r="D25"/>
  <c r="D24"/>
  <c r="D23"/>
  <c r="C18"/>
  <c r="D15"/>
  <c r="D12"/>
  <c r="D11"/>
  <c r="D36" i="7"/>
  <c r="D39" s="1"/>
  <c r="D27"/>
  <c r="D26"/>
  <c r="D25"/>
  <c r="D24"/>
  <c r="D23"/>
  <c r="D15"/>
  <c r="D14"/>
  <c r="D13"/>
  <c r="D12"/>
  <c r="D11"/>
  <c r="D40" i="6"/>
  <c r="D27"/>
  <c r="D26"/>
  <c r="D24"/>
  <c r="D23"/>
  <c r="D13"/>
  <c r="D12"/>
  <c r="D11"/>
  <c r="D38" i="5"/>
  <c r="D36"/>
  <c r="D35"/>
  <c r="D26"/>
  <c r="D25"/>
  <c r="D24"/>
  <c r="D23"/>
  <c r="D22"/>
  <c r="D13"/>
  <c r="D12"/>
  <c r="D11"/>
  <c r="A4" i="10"/>
  <c r="A3"/>
  <c r="A2"/>
  <c r="A1"/>
  <c r="A4" i="9"/>
  <c r="A3"/>
  <c r="A2"/>
  <c r="A1"/>
  <c r="A4" i="8"/>
  <c r="A3"/>
  <c r="A2"/>
  <c r="A1"/>
  <c r="A4" i="7"/>
  <c r="A3"/>
  <c r="A2"/>
  <c r="A1"/>
  <c r="A4" i="6"/>
  <c r="A3"/>
  <c r="A2"/>
  <c r="A1"/>
  <c r="D36" i="4"/>
  <c r="D35"/>
  <c r="D38" s="1"/>
  <c r="D26"/>
  <c r="D25"/>
  <c r="D24"/>
  <c r="D23"/>
  <c r="D30" s="1"/>
  <c r="D12"/>
  <c r="D11"/>
  <c r="D17" s="1"/>
  <c r="A4"/>
  <c r="A3"/>
  <c r="A2"/>
  <c r="A1"/>
  <c r="A4" i="5"/>
  <c r="A3"/>
  <c r="A2"/>
  <c r="A1"/>
  <c r="D27" i="3"/>
  <c r="D23"/>
  <c r="D22"/>
  <c r="D21"/>
  <c r="D20"/>
  <c r="D28" s="1"/>
  <c r="D10"/>
  <c r="D9"/>
  <c r="D15" s="1"/>
  <c r="D34" i="2"/>
  <c r="D33"/>
  <c r="D35" s="1"/>
  <c r="D23"/>
  <c r="D22"/>
  <c r="D21"/>
  <c r="D20"/>
  <c r="D28" s="1"/>
  <c r="C15"/>
  <c r="D13"/>
  <c r="D12"/>
  <c r="D11"/>
  <c r="D10"/>
  <c r="D9"/>
  <c r="D15" s="1"/>
  <c r="D35" i="1"/>
  <c r="D33"/>
  <c r="D36" s="1"/>
  <c r="D24"/>
  <c r="D23"/>
  <c r="D22"/>
  <c r="D21"/>
  <c r="D28" s="1"/>
  <c r="D10"/>
  <c r="D9"/>
  <c r="D15" s="1"/>
  <c r="D17" i="10" l="1"/>
  <c r="D17" i="9"/>
  <c r="D30"/>
  <c r="D18" i="8"/>
  <c r="D32"/>
  <c r="D30" i="5"/>
  <c r="D17" i="7"/>
  <c r="D30"/>
  <c r="D32" i="6"/>
  <c r="D17"/>
  <c r="D40" i="5"/>
  <c r="D16"/>
</calcChain>
</file>

<file path=xl/sharedStrings.xml><?xml version="1.0" encoding="utf-8"?>
<sst xmlns="http://schemas.openxmlformats.org/spreadsheetml/2006/main" count="409" uniqueCount="121">
  <si>
    <t>Прием пищи, наименование блюда</t>
  </si>
  <si>
    <t>Масса порции</t>
  </si>
  <si>
    <t>Энергети-ческая ценность, ккал</t>
  </si>
  <si>
    <t>КАША ВЯЗКАЯ ИЗ РИСА И ПШЕНА 150/10</t>
  </si>
  <si>
    <t>СЫР (ПОРЦИЯМИ)</t>
  </si>
  <si>
    <t xml:space="preserve">ЧАЙ С МОЛОКОМ </t>
  </si>
  <si>
    <t>ФРУКТЫ СВЕЖИЕ/ЯБЛОКО/</t>
  </si>
  <si>
    <t>ХЛЕБ ПШЕНИЧНЫЙ</t>
  </si>
  <si>
    <t>ХЛЕБ РЖАНОЙ</t>
  </si>
  <si>
    <t>Итого за прием пищи:</t>
  </si>
  <si>
    <t>ИКРА КАБАЧКОВАЯ</t>
  </si>
  <si>
    <t>БОРЩ С КАПУСТОЙ И КАРТОФЕЛЕМ</t>
  </si>
  <si>
    <t>КАША РАССЫПЧАТАЯ ПЕРЛОВАЯ</t>
  </si>
  <si>
    <t>КОТЛЕТЫ РЫБНЫЕ/СОУС 110/15</t>
  </si>
  <si>
    <t>СОК ФРУКТОВЫЙ/ВИШНЕВЫЙ/</t>
  </si>
  <si>
    <t>200</t>
  </si>
  <si>
    <t>ЗАПЕКАНКА  КАРТОФЕЛЬНАЯ С СУБПРОДУКТАМИ/ПЕЧЕНЬ/</t>
  </si>
  <si>
    <t>КИСЛОМОЛОЧНЫЙ НАПИТОК/СНЕЖОК/</t>
  </si>
  <si>
    <t>Согласовано</t>
  </si>
  <si>
    <t>Директор ООО "ВитаЛайн"</t>
  </si>
  <si>
    <t>_____________Н.Н.Клоков</t>
  </si>
  <si>
    <t>ЕЖЕДНЕВНОЕ МЕНЮ ЗАВТРАК</t>
  </si>
  <si>
    <t>№ п/п</t>
  </si>
  <si>
    <t>ЕЖЕДНЕВНОЕ МЕНЮ ОБЕД</t>
  </si>
  <si>
    <t>Утверждаю</t>
  </si>
  <si>
    <t>ЕЖЕДНЕВНОЕ МЕНЮ  ПОЛДНИК</t>
  </si>
  <si>
    <t>САЛАТ ИЗ СОЛЕНИЙ</t>
  </si>
  <si>
    <t>РАГУ ИЗ ОВОЩЕЙ</t>
  </si>
  <si>
    <t>КОТЛЕТЫ, ИЗ ГОВЯДИНЫ</t>
  </si>
  <si>
    <t>КОФЕЙНЫЙ НАПИТОК С МОЛОКОМ</t>
  </si>
  <si>
    <t>САЛАТ ИЗ СВЕКЛЫ С СЫРОМ И ЧЕСНОКОМ</t>
  </si>
  <si>
    <t xml:space="preserve">СУП КАРТОФЕЛЬНЫЙ С БОБОВЫМИ </t>
  </si>
  <si>
    <t>КАРТОФЕЛЬ В МОЛОКЕ</t>
  </si>
  <si>
    <t>СУФЛЕ ИЗ КУР</t>
  </si>
  <si>
    <t>СОК ФРУКТОВЫЙ/ЯБЛОЧНЫЙ/</t>
  </si>
  <si>
    <t>МОЛОКО 2,5% ПРОМ ПРОИЗВОДСТВА</t>
  </si>
  <si>
    <t>ЗАПЕКАНКА ИЗ ТВОРОГА С МОРКОВЬЮ С СОУСОМ 337</t>
  </si>
  <si>
    <t>КОМПОТ ИЗ СВЕЖИХ ПЛОДОВ (1-ЫЙ ВАРИАНТ)</t>
  </si>
  <si>
    <t>№п/п</t>
  </si>
  <si>
    <t>ОВОЩИ НАТУРАЛЬНЫЕ СОЛЕНЫЕ/ПОМИДОРЫ /</t>
  </si>
  <si>
    <t>СОК ФРУКТОВЫЙ/ВИНОГРАДНЫЙ/</t>
  </si>
  <si>
    <t>САЛАТ ИЗ БЕЛОКОЧАННОЙ КАПУСТЫ С МОРКОВЬЮ</t>
  </si>
  <si>
    <t xml:space="preserve">СУП КАРТОФЕЛЬНЫЙ С КЛЕЦКАМИ </t>
  </si>
  <si>
    <t>ЖАРКОЕ ПО-ДОМАШНЕМУ</t>
  </si>
  <si>
    <t>КИСЛОМОЛОЧНЫЙ НАПИТОК /КЕФИР/</t>
  </si>
  <si>
    <t>ФРУКТЫ СВЕЖИЕ/МАНДАРИН/</t>
  </si>
  <si>
    <t>КОНДИТЕРСКИЕ ИЗДЕЛИЯ /НЕ КРЕМОВЫЕ/</t>
  </si>
  <si>
    <t>БУТЕРБРОДЫ С  КОТЛЕТОЙ</t>
  </si>
  <si>
    <t>САЛАТ ИЗ КВАШЕНОЙ КАПУСТЫ</t>
  </si>
  <si>
    <t>РАГУ ИЗ  ЦЫПЛЕНКА-БРОЙЛЕРА</t>
  </si>
  <si>
    <t>ИКРА СВЕКОЛЬНАЯ</t>
  </si>
  <si>
    <t>РАССОЛЬНИК ЛЕНИНГРАДСКИЙ</t>
  </si>
  <si>
    <t xml:space="preserve">КАША РАССЫПЧАТАЯ ПШЕНИЧНАЯ </t>
  </si>
  <si>
    <t>КАША ВЯЗКАЯ ИЗ РИСА</t>
  </si>
  <si>
    <t>САЛАТ ИЗ МОРКОВИ И КУРАГИ С ЙОГУРТОМ</t>
  </si>
  <si>
    <t>ОМЛЕТ НАТУРАЛЬНЫЙ</t>
  </si>
  <si>
    <t>КИСЕЛЬ ИЗ ЯБЛОК</t>
  </si>
  <si>
    <t>ЩИ ИЗ СВЕЖЕЙ КАПУСТЫ</t>
  </si>
  <si>
    <t>САЛАТ ИЗ СВЕКЛЫ С КУРАГОЙ И ИЗЮМОМ</t>
  </si>
  <si>
    <t>ЗАПЕКАНКА ИЗ ТВОРОГА/МОЛОКО СГУЩ 160/20</t>
  </si>
  <si>
    <t>ФРУКТЫ СВЕЖИЕ/МАНДАРИНЫ/</t>
  </si>
  <si>
    <t>КАПУСТА ТУШЕНАЯ ИЗ  КВАШЕНОЙ</t>
  </si>
  <si>
    <t>КАКАО С МОЛОКОМ</t>
  </si>
  <si>
    <t>ПЮРЕ КАРТОФЕЛЬНОЕ</t>
  </si>
  <si>
    <t>ПЕЧЕНЬ, ТУШЕНАЯ В СОУСЕ</t>
  </si>
  <si>
    <t>СУП ИЗ ОВОЩЕЙ</t>
  </si>
  <si>
    <t>МАКАРОНЫ ОТВАРНЫЕ С СЫРОМ</t>
  </si>
  <si>
    <t>САЛАТ ВИТАМИННЫЙ</t>
  </si>
  <si>
    <t>БЕФСТРОГАНОВ</t>
  </si>
  <si>
    <t>ЧАЙ С САХАРОМ</t>
  </si>
  <si>
    <t>БУТЕРБРОДЫ С МЯСНОЙ КОТЛЕТОЙ</t>
  </si>
  <si>
    <t>80</t>
  </si>
  <si>
    <t>ЧАЙ С ЛИМОНОМ</t>
  </si>
  <si>
    <t>КОНДИТЕРСКИЕ ИЗДЕЛИЯ/ПЕЧЕНЬЕ/</t>
  </si>
  <si>
    <t>20</t>
  </si>
  <si>
    <t>300</t>
  </si>
  <si>
    <t>ЗАПЕКАНКА ИЗ ТВОРОГА/ПОВИДЛО /</t>
  </si>
  <si>
    <t>САЛАТ ИЗ СОЛЕНЫХ ОГУРЦОВ С ЛУКОМ</t>
  </si>
  <si>
    <t>БОРЩ С ФАСОЛЬЮ И КАРТОФЕЛЕМ</t>
  </si>
  <si>
    <t>КАРТОФЕЛЬ И ОВОЩИ, ТУШЕННЫЕ В СОУСЕ</t>
  </si>
  <si>
    <t>ЗАПЕКАНКА ОВОЩНАЯ</t>
  </si>
  <si>
    <t>150</t>
  </si>
  <si>
    <t>КОМПОТ ИЗ СМЕСИ СУХОФРУКТОВ</t>
  </si>
  <si>
    <t>САЛАТ ИЗ МОРКОВИ С ИЗЮМОМ</t>
  </si>
  <si>
    <t>ПОДЖАРКА ИЗ РЫБЫ</t>
  </si>
  <si>
    <t>МАСЛО (ПОРЦИЯМИ)</t>
  </si>
  <si>
    <t>ВИНЕГРЕТ ОВОЩНОЙ</t>
  </si>
  <si>
    <t>СУП КАРТОФЕЛЬНЫЙ С МАКАРОННЫМИ ИЗДЕЛИЯМИ</t>
  </si>
  <si>
    <t>КАПУСТА, ТУШЕННАЯ С ЯБЛОКАМИ</t>
  </si>
  <si>
    <t>ПТИЦА ТУШЕНАЯ В СОУСЕ</t>
  </si>
  <si>
    <t>КРУПЕНИК С ЙОГУРТОМ</t>
  </si>
  <si>
    <t>МЮСЛИ /ХЛОПЬЯ КУКУРУЗНЫЕ ИЛИ ПШЕНИЧНЫЕ/ С МОЛОКОМ</t>
  </si>
  <si>
    <t>ЯЙЦА ВАРЕНЫЕ</t>
  </si>
  <si>
    <t>САЛАТ ИЗ БЕЛОКОЧАННОЙ КАПУСТЫ С ЯБЛОКАМИ</t>
  </si>
  <si>
    <t>КАША РАССЫПЧАТАЯ ГРЕЧНЕВАЯ</t>
  </si>
  <si>
    <t xml:space="preserve">ТЕФТЕЛИ МЯСНЫЕ 1 ВАРИАНТ </t>
  </si>
  <si>
    <t>РЫБА, ЗАПЕЧЕННАЯ С КАРТОФЕЛЕМ ПО-РУССКИ С ЗЕЛ ГОРОШКОМ</t>
  </si>
  <si>
    <t>КИСЕЛЬ ИЗ ЯБЛОК СУШЕНЫХ</t>
  </si>
  <si>
    <t>КАПУСТА ТУШЕНАЯ</t>
  </si>
  <si>
    <t>ПЕЧЕНЬ ПО-СТРОГАНОВСКИ</t>
  </si>
  <si>
    <t>КИСЕЛЬ ИЗ КУРАГИ</t>
  </si>
  <si>
    <t>МАКАРОНЫ, ЗАПЕЧЕННЫЕ С СЫРОМ</t>
  </si>
  <si>
    <t>БЛИНЧИКИ</t>
  </si>
  <si>
    <t>50</t>
  </si>
  <si>
    <t>"___"______________2023 г</t>
  </si>
  <si>
    <t>"____"__________2023 г.</t>
  </si>
  <si>
    <t>______________/______________/</t>
  </si>
  <si>
    <t>Директор МБОУ _____________</t>
  </si>
  <si>
    <t xml:space="preserve">    Заведующий производством  _______________/  ______________/                              /</t>
  </si>
  <si>
    <t>"_____"________________2023 г.</t>
  </si>
  <si>
    <t>"_____"__________________2023 г.</t>
  </si>
  <si>
    <t xml:space="preserve">КОТЛЕТЫ РЫБНЫЕ/СОУС </t>
  </si>
  <si>
    <t>БУЛОЧКА ДОМАШНЯЯ С ИЗЮМОМ</t>
  </si>
  <si>
    <t>КАРТОФЕЛЬНОЕ ПЮРЕ</t>
  </si>
  <si>
    <t>Цена розничная</t>
  </si>
  <si>
    <t>РУЛЕТ С МАКАРОНАМИ/СОУС 120/30</t>
  </si>
  <si>
    <t>БЛИНЫ СО СГУЩ МОЛОКОМ 60/20</t>
  </si>
  <si>
    <t>БИТОЧКИ РЫБНЫЕ С СОУСОМ 100/25</t>
  </si>
  <si>
    <t>БИТОЧКИ ПАРОВЫЕ /СОУС 60/30</t>
  </si>
  <si>
    <t>БИТОЧКИ ПАРОВЫЕ 60/30</t>
  </si>
  <si>
    <t>Фрукты свежие мандарины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</si>
</sst>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2" borderId="0" xfId="0" applyFont="1" applyFill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/>
    <xf numFmtId="0" fontId="6" fillId="0" borderId="0" xfId="0" applyFont="1" applyAlignment="1"/>
    <xf numFmtId="0" fontId="10" fillId="2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/>
    <xf numFmtId="0" fontId="11" fillId="2" borderId="0" xfId="0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4" fontId="10" fillId="2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0" fontId="6" fillId="3" borderId="0" xfId="0" applyFont="1" applyFill="1" applyBorder="1" applyAlignment="1"/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/>
    </xf>
    <xf numFmtId="0" fontId="0" fillId="0" borderId="0" xfId="0" applyAlignment="1"/>
    <xf numFmtId="0" fontId="9" fillId="0" borderId="0" xfId="0" applyFont="1" applyBorder="1" applyAlignment="1"/>
    <xf numFmtId="0" fontId="10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2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M10" sqref="M10"/>
    </sheetView>
  </sheetViews>
  <sheetFormatPr defaultColWidth="8.85546875" defaultRowHeight="15"/>
  <cols>
    <col min="1" max="1" width="6" style="32" customWidth="1"/>
    <col min="2" max="2" width="60.7109375" style="32" customWidth="1"/>
    <col min="3" max="3" width="8.85546875" style="32"/>
    <col min="4" max="4" width="13.42578125" style="32" customWidth="1"/>
    <col min="5" max="5" width="0.28515625" style="32" customWidth="1"/>
    <col min="6" max="6" width="8.85546875" style="105"/>
    <col min="7" max="16384" width="8.85546875" style="32"/>
  </cols>
  <sheetData>
    <row r="1" spans="1:6" s="37" customFormat="1" ht="26.25" customHeight="1">
      <c r="A1" s="7" t="s">
        <v>24</v>
      </c>
      <c r="B1" s="7"/>
      <c r="C1" s="7"/>
      <c r="D1" s="124" t="s">
        <v>18</v>
      </c>
      <c r="E1" s="125"/>
      <c r="F1" s="125"/>
    </row>
    <row r="2" spans="1:6" s="37" customFormat="1" ht="26.25" customHeight="1">
      <c r="A2" s="7" t="s">
        <v>19</v>
      </c>
      <c r="B2" s="7"/>
      <c r="C2" s="124" t="s">
        <v>107</v>
      </c>
      <c r="D2" s="125"/>
      <c r="E2" s="125"/>
      <c r="F2" s="125"/>
    </row>
    <row r="3" spans="1:6" s="37" customFormat="1" ht="26.25" customHeight="1">
      <c r="A3" s="7" t="s">
        <v>20</v>
      </c>
      <c r="B3" s="7"/>
      <c r="C3" s="124" t="s">
        <v>106</v>
      </c>
      <c r="D3" s="125"/>
      <c r="E3" s="125"/>
      <c r="F3" s="125"/>
    </row>
    <row r="4" spans="1:6" s="37" customFormat="1" ht="26.25" customHeight="1">
      <c r="A4" s="7" t="s">
        <v>104</v>
      </c>
      <c r="B4" s="7"/>
      <c r="C4" s="124" t="s">
        <v>105</v>
      </c>
      <c r="D4" s="126"/>
      <c r="E4" s="125"/>
      <c r="F4" s="125"/>
    </row>
    <row r="6" spans="1:6" s="38" customFormat="1" ht="28.35" customHeight="1">
      <c r="B6" s="130" t="s">
        <v>21</v>
      </c>
      <c r="C6" s="130"/>
      <c r="D6" s="130"/>
      <c r="F6" s="72"/>
    </row>
    <row r="7" spans="1:6" s="38" customFormat="1" ht="13.35" customHeight="1">
      <c r="A7" s="127" t="s">
        <v>22</v>
      </c>
      <c r="B7" s="129" t="s">
        <v>0</v>
      </c>
      <c r="C7" s="123" t="s">
        <v>1</v>
      </c>
      <c r="D7" s="123" t="s">
        <v>2</v>
      </c>
      <c r="E7" s="123" t="s">
        <v>2</v>
      </c>
      <c r="F7" s="123" t="s">
        <v>114</v>
      </c>
    </row>
    <row r="8" spans="1:6" s="38" customFormat="1" ht="33" customHeight="1">
      <c r="A8" s="128"/>
      <c r="B8" s="129"/>
      <c r="C8" s="123"/>
      <c r="D8" s="123"/>
      <c r="E8" s="123"/>
      <c r="F8" s="123"/>
    </row>
    <row r="9" spans="1:6" s="38" customFormat="1" ht="12.2" customHeight="1">
      <c r="A9" s="39">
        <v>1</v>
      </c>
      <c r="B9" s="40" t="s">
        <v>3</v>
      </c>
      <c r="C9" s="41">
        <v>160</v>
      </c>
      <c r="D9" s="42">
        <f>260*160/210</f>
        <v>198.0952380952381</v>
      </c>
      <c r="F9" s="101">
        <v>35</v>
      </c>
    </row>
    <row r="10" spans="1:6" s="38" customFormat="1" ht="12.2" customHeight="1">
      <c r="A10" s="39">
        <v>2</v>
      </c>
      <c r="B10" s="40" t="s">
        <v>4</v>
      </c>
      <c r="C10" s="41">
        <v>20</v>
      </c>
      <c r="D10" s="42">
        <f>108*20/30</f>
        <v>72</v>
      </c>
      <c r="F10" s="101">
        <v>20</v>
      </c>
    </row>
    <row r="11" spans="1:6" s="38" customFormat="1" ht="12.2" customHeight="1">
      <c r="A11" s="39">
        <v>3</v>
      </c>
      <c r="B11" s="40" t="s">
        <v>5</v>
      </c>
      <c r="C11" s="43">
        <v>200</v>
      </c>
      <c r="D11" s="42">
        <v>81</v>
      </c>
      <c r="F11" s="101">
        <v>10</v>
      </c>
    </row>
    <row r="12" spans="1:6" s="38" customFormat="1" ht="12.2" customHeight="1">
      <c r="A12" s="39">
        <v>4</v>
      </c>
      <c r="B12" s="40" t="s">
        <v>6</v>
      </c>
      <c r="C12" s="41">
        <v>100</v>
      </c>
      <c r="D12" s="42">
        <v>56.4</v>
      </c>
      <c r="F12" s="101">
        <v>10</v>
      </c>
    </row>
    <row r="13" spans="1:6" s="38" customFormat="1" ht="12.2" customHeight="1">
      <c r="A13" s="39">
        <v>5</v>
      </c>
      <c r="B13" s="40" t="s">
        <v>7</v>
      </c>
      <c r="C13" s="41">
        <v>20</v>
      </c>
      <c r="D13" s="42">
        <v>142.1</v>
      </c>
      <c r="F13" s="101">
        <v>3</v>
      </c>
    </row>
    <row r="14" spans="1:6" s="38" customFormat="1" ht="12.2" customHeight="1">
      <c r="A14" s="39">
        <v>6</v>
      </c>
      <c r="B14" s="40" t="s">
        <v>8</v>
      </c>
      <c r="C14" s="41">
        <v>20</v>
      </c>
      <c r="D14" s="42">
        <v>46</v>
      </c>
      <c r="F14" s="101">
        <v>3</v>
      </c>
    </row>
    <row r="15" spans="1:6" s="47" customFormat="1" ht="12.2" customHeight="1">
      <c r="A15" s="44"/>
      <c r="B15" s="45" t="s">
        <v>9</v>
      </c>
      <c r="C15" s="46">
        <f>SUM(C9:C14)</f>
        <v>520</v>
      </c>
      <c r="D15" s="46">
        <f t="shared" ref="D15:F15" si="0">SUM(D9:D14)</f>
        <v>595.59523809523807</v>
      </c>
      <c r="E15" s="46">
        <f t="shared" si="0"/>
        <v>0</v>
      </c>
      <c r="F15" s="46">
        <f t="shared" si="0"/>
        <v>81</v>
      </c>
    </row>
    <row r="16" spans="1:6" s="47" customFormat="1" ht="12.2" customHeight="1">
      <c r="A16" s="48"/>
      <c r="B16" s="49"/>
      <c r="C16" s="50"/>
      <c r="D16" s="51"/>
      <c r="F16" s="106"/>
    </row>
    <row r="17" spans="1:6" s="47" customFormat="1" ht="12.2" customHeight="1">
      <c r="A17" s="48"/>
      <c r="B17" s="49"/>
      <c r="C17" s="50"/>
      <c r="D17" s="51"/>
      <c r="F17" s="106"/>
    </row>
    <row r="18" spans="1:6" s="38" customFormat="1" ht="28.35" customHeight="1">
      <c r="B18" s="130" t="s">
        <v>23</v>
      </c>
      <c r="C18" s="130"/>
      <c r="D18" s="130"/>
      <c r="F18" s="72"/>
    </row>
    <row r="19" spans="1:6" s="38" customFormat="1" ht="13.35" customHeight="1">
      <c r="A19" s="127" t="s">
        <v>22</v>
      </c>
      <c r="B19" s="129" t="s">
        <v>0</v>
      </c>
      <c r="C19" s="123" t="s">
        <v>1</v>
      </c>
      <c r="D19" s="123" t="s">
        <v>2</v>
      </c>
      <c r="F19" s="123" t="s">
        <v>114</v>
      </c>
    </row>
    <row r="20" spans="1:6" s="38" customFormat="1" ht="32.25" customHeight="1">
      <c r="A20" s="128"/>
      <c r="B20" s="129"/>
      <c r="C20" s="123"/>
      <c r="D20" s="123"/>
      <c r="F20" s="123"/>
    </row>
    <row r="21" spans="1:6" s="38" customFormat="1" ht="12.2" customHeight="1">
      <c r="A21" s="39">
        <v>1</v>
      </c>
      <c r="B21" s="40" t="s">
        <v>10</v>
      </c>
      <c r="C21" s="41">
        <v>60</v>
      </c>
      <c r="D21" s="42">
        <f>1338*0.06</f>
        <v>80.28</v>
      </c>
      <c r="F21" s="101">
        <v>10</v>
      </c>
    </row>
    <row r="22" spans="1:6" s="38" customFormat="1" ht="12.2" customHeight="1">
      <c r="A22" s="39">
        <v>2</v>
      </c>
      <c r="B22" s="40" t="s">
        <v>11</v>
      </c>
      <c r="C22" s="41">
        <v>200</v>
      </c>
      <c r="D22" s="42">
        <f>415*0.2</f>
        <v>83</v>
      </c>
      <c r="F22" s="101">
        <v>20</v>
      </c>
    </row>
    <row r="23" spans="1:6" s="38" customFormat="1" ht="12.2" customHeight="1">
      <c r="A23" s="39">
        <v>3</v>
      </c>
      <c r="B23" s="40" t="s">
        <v>12</v>
      </c>
      <c r="C23" s="41">
        <v>150</v>
      </c>
      <c r="D23" s="42">
        <f>220*150/160</f>
        <v>206.25</v>
      </c>
      <c r="F23" s="101">
        <v>15</v>
      </c>
    </row>
    <row r="24" spans="1:6" s="38" customFormat="1" ht="12.2" customHeight="1">
      <c r="A24" s="39">
        <v>4</v>
      </c>
      <c r="B24" s="40" t="s">
        <v>13</v>
      </c>
      <c r="C24" s="43">
        <v>125</v>
      </c>
      <c r="D24" s="42">
        <f>128*125/55</f>
        <v>290.90909090909093</v>
      </c>
      <c r="F24" s="101">
        <v>40</v>
      </c>
    </row>
    <row r="25" spans="1:6" s="38" customFormat="1" ht="12.2" customHeight="1">
      <c r="A25" s="39">
        <v>5</v>
      </c>
      <c r="B25" s="40" t="s">
        <v>14</v>
      </c>
      <c r="C25" s="41">
        <v>200</v>
      </c>
      <c r="D25" s="42">
        <v>83.4</v>
      </c>
      <c r="F25" s="101">
        <v>10</v>
      </c>
    </row>
    <row r="26" spans="1:6" s="38" customFormat="1" ht="12.2" customHeight="1">
      <c r="A26" s="39">
        <v>6</v>
      </c>
      <c r="B26" s="40" t="s">
        <v>7</v>
      </c>
      <c r="C26" s="41">
        <v>30</v>
      </c>
      <c r="D26" s="42">
        <v>71</v>
      </c>
      <c r="F26" s="101">
        <v>3</v>
      </c>
    </row>
    <row r="27" spans="1:6" s="38" customFormat="1" ht="12.2" customHeight="1">
      <c r="A27" s="39">
        <v>7</v>
      </c>
      <c r="B27" s="40" t="s">
        <v>8</v>
      </c>
      <c r="C27" s="41">
        <v>20</v>
      </c>
      <c r="D27" s="42">
        <v>46</v>
      </c>
      <c r="F27" s="44">
        <v>3</v>
      </c>
    </row>
    <row r="28" spans="1:6" s="47" customFormat="1" ht="21.6" customHeight="1">
      <c r="A28" s="52"/>
      <c r="B28" s="45" t="s">
        <v>9</v>
      </c>
      <c r="C28" s="46">
        <f>SUM(C21:C27)</f>
        <v>785</v>
      </c>
      <c r="D28" s="71">
        <f t="shared" ref="D28:F28" si="1">SUM(D21:D27)</f>
        <v>860.83909090909094</v>
      </c>
      <c r="E28" s="46">
        <f t="shared" si="1"/>
        <v>0</v>
      </c>
      <c r="F28" s="46">
        <f t="shared" si="1"/>
        <v>101</v>
      </c>
    </row>
    <row r="29" spans="1:6" s="47" customFormat="1" ht="21.6" customHeight="1">
      <c r="A29" s="53"/>
      <c r="B29" s="49"/>
      <c r="C29" s="50"/>
      <c r="D29" s="50"/>
      <c r="F29" s="106"/>
    </row>
    <row r="30" spans="1:6" s="38" customFormat="1" ht="28.35" customHeight="1">
      <c r="B30" s="130" t="s">
        <v>25</v>
      </c>
      <c r="C30" s="130"/>
      <c r="D30" s="130"/>
      <c r="F30" s="72"/>
    </row>
    <row r="31" spans="1:6" s="38" customFormat="1" ht="13.35" customHeight="1">
      <c r="A31" s="127" t="s">
        <v>22</v>
      </c>
      <c r="B31" s="129" t="s">
        <v>0</v>
      </c>
      <c r="C31" s="123" t="s">
        <v>1</v>
      </c>
      <c r="D31" s="123" t="s">
        <v>2</v>
      </c>
      <c r="F31" s="123" t="s">
        <v>114</v>
      </c>
    </row>
    <row r="32" spans="1:6" s="38" customFormat="1" ht="34.5" customHeight="1">
      <c r="A32" s="128"/>
      <c r="B32" s="129"/>
      <c r="C32" s="123"/>
      <c r="D32" s="123"/>
      <c r="F32" s="123"/>
    </row>
    <row r="33" spans="1:6" s="38" customFormat="1" ht="12.2" customHeight="1">
      <c r="A33" s="39">
        <v>1</v>
      </c>
      <c r="B33" s="40" t="s">
        <v>16</v>
      </c>
      <c r="C33" s="54">
        <v>150</v>
      </c>
      <c r="D33" s="55">
        <f>256*150/145</f>
        <v>264.82758620689657</v>
      </c>
      <c r="F33" s="44">
        <f>49.72-12</f>
        <v>37.72</v>
      </c>
    </row>
    <row r="34" spans="1:6" s="38" customFormat="1" ht="12.2" customHeight="1">
      <c r="A34" s="39">
        <v>2</v>
      </c>
      <c r="B34" s="56" t="s">
        <v>17</v>
      </c>
      <c r="C34" s="54">
        <v>200</v>
      </c>
      <c r="D34" s="55">
        <v>106</v>
      </c>
      <c r="F34" s="44">
        <v>10</v>
      </c>
    </row>
    <row r="35" spans="1:6" s="38" customFormat="1" ht="12.2" customHeight="1">
      <c r="A35" s="57">
        <v>3</v>
      </c>
      <c r="B35" s="58" t="s">
        <v>7</v>
      </c>
      <c r="C35" s="59">
        <v>20</v>
      </c>
      <c r="D35" s="55">
        <f>71*20/30</f>
        <v>47.333333333333336</v>
      </c>
      <c r="F35" s="44">
        <v>2</v>
      </c>
    </row>
    <row r="36" spans="1:6" s="47" customFormat="1" ht="21.6" customHeight="1">
      <c r="A36" s="52"/>
      <c r="B36" s="60" t="s">
        <v>9</v>
      </c>
      <c r="C36" s="61">
        <f>SUM(C33:C35)</f>
        <v>370</v>
      </c>
      <c r="D36" s="62">
        <f t="shared" ref="D36:F36" si="2">SUM(D33:D35)</f>
        <v>418.16091954022988</v>
      </c>
      <c r="E36" s="61">
        <f t="shared" si="2"/>
        <v>0</v>
      </c>
      <c r="F36" s="61">
        <f t="shared" si="2"/>
        <v>49.72</v>
      </c>
    </row>
    <row r="37" spans="1:6" s="47" customFormat="1" ht="21.6" customHeight="1">
      <c r="A37" s="53"/>
      <c r="B37" s="49"/>
      <c r="C37" s="63"/>
      <c r="D37" s="64"/>
      <c r="F37" s="77"/>
    </row>
    <row r="38" spans="1:6" s="47" customFormat="1" ht="21.6" customHeight="1">
      <c r="A38" s="53" t="s">
        <v>108</v>
      </c>
      <c r="B38" s="49"/>
      <c r="C38" s="63"/>
      <c r="D38" s="64"/>
      <c r="F38" s="77"/>
    </row>
    <row r="39" spans="1:6" s="38" customFormat="1" ht="21.6" customHeight="1">
      <c r="A39" s="65"/>
      <c r="B39" s="131"/>
      <c r="C39" s="131"/>
      <c r="D39" s="66"/>
      <c r="F39" s="48"/>
    </row>
  </sheetData>
  <mergeCells count="24">
    <mergeCell ref="B39:C39"/>
    <mergeCell ref="B6:D6"/>
    <mergeCell ref="B7:B8"/>
    <mergeCell ref="C7:C8"/>
    <mergeCell ref="D7:D8"/>
    <mergeCell ref="A31:A32"/>
    <mergeCell ref="B31:B32"/>
    <mergeCell ref="C31:C32"/>
    <mergeCell ref="D31:D32"/>
    <mergeCell ref="A7:A8"/>
    <mergeCell ref="B18:D18"/>
    <mergeCell ref="B30:D30"/>
    <mergeCell ref="A19:A20"/>
    <mergeCell ref="B19:B20"/>
    <mergeCell ref="C19:C20"/>
    <mergeCell ref="D19:D20"/>
    <mergeCell ref="E7:E8"/>
    <mergeCell ref="F7:F8"/>
    <mergeCell ref="F19:F20"/>
    <mergeCell ref="F31:F32"/>
    <mergeCell ref="D1:F1"/>
    <mergeCell ref="C2:F2"/>
    <mergeCell ref="C3:F3"/>
    <mergeCell ref="C4:F4"/>
  </mergeCells>
  <pageMargins left="0.70866141732283472" right="0.70866141732283472" top="0.3937007874015748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31" workbookViewId="0">
      <selection activeCell="D43" sqref="D43"/>
    </sheetView>
  </sheetViews>
  <sheetFormatPr defaultRowHeight="15"/>
  <cols>
    <col min="1" max="1" width="5.7109375" customWidth="1"/>
    <col min="2" max="2" width="43" customWidth="1"/>
    <col min="3" max="3" width="16" customWidth="1"/>
    <col min="4" max="4" width="20.5703125" customWidth="1"/>
    <col min="5" max="5" width="15.140625" customWidth="1"/>
  </cols>
  <sheetData>
    <row r="1" spans="1:5">
      <c r="A1" t="str">
        <f>'1 Д 1 Н'!A1</f>
        <v>Утверждаю</v>
      </c>
      <c r="D1" s="100" t="str">
        <f>'5Д 1Н'!D1</f>
        <v>Согласовано</v>
      </c>
    </row>
    <row r="2" spans="1:5">
      <c r="A2" t="str">
        <f>'1 Д 1 Н'!A2</f>
        <v>Директор ООО "ВитаЛайн"</v>
      </c>
      <c r="D2" s="100" t="str">
        <f>'5Д 1Н'!D2</f>
        <v>Директор МБОУ _____________</v>
      </c>
    </row>
    <row r="3" spans="1:5">
      <c r="A3" t="str">
        <f>'1 Д 1 Н'!A3</f>
        <v>_____________Н.Н.Клоков</v>
      </c>
      <c r="D3" s="100" t="str">
        <f>'5Д 1Н'!D3</f>
        <v>______________/______________/</v>
      </c>
    </row>
    <row r="4" spans="1:5">
      <c r="A4" t="str">
        <f>'1 Д 1 Н'!A4</f>
        <v>"___"______________2023 г</v>
      </c>
      <c r="D4" s="100" t="str">
        <f>'5Д 1Н'!D4</f>
        <v>"_____"__________________2023 г.</v>
      </c>
    </row>
    <row r="8" spans="1:5">
      <c r="A8" s="27"/>
      <c r="B8" s="148" t="s">
        <v>21</v>
      </c>
      <c r="C8" s="148"/>
      <c r="D8" s="148"/>
    </row>
    <row r="9" spans="1:5">
      <c r="A9" s="149" t="s">
        <v>38</v>
      </c>
      <c r="B9" s="147" t="s">
        <v>0</v>
      </c>
      <c r="C9" s="147" t="s">
        <v>1</v>
      </c>
      <c r="D9" s="147" t="s">
        <v>2</v>
      </c>
      <c r="E9" s="144" t="s">
        <v>114</v>
      </c>
    </row>
    <row r="10" spans="1:5" ht="15.75" thickBot="1">
      <c r="A10" s="154"/>
      <c r="B10" s="147"/>
      <c r="C10" s="147"/>
      <c r="D10" s="147"/>
      <c r="E10" s="144"/>
    </row>
    <row r="11" spans="1:5">
      <c r="A11" s="8">
        <v>1</v>
      </c>
      <c r="B11" s="2" t="s">
        <v>58</v>
      </c>
      <c r="C11" s="3">
        <v>80</v>
      </c>
      <c r="D11" s="14">
        <f>1340*0.08</f>
        <v>107.2</v>
      </c>
      <c r="E11" s="112">
        <v>10</v>
      </c>
    </row>
    <row r="12" spans="1:5">
      <c r="A12" s="8">
        <v>2</v>
      </c>
      <c r="B12" s="2" t="s">
        <v>98</v>
      </c>
      <c r="C12" s="3">
        <v>150</v>
      </c>
      <c r="D12" s="14">
        <f>751*0.15</f>
        <v>112.64999999999999</v>
      </c>
      <c r="E12" s="113">
        <v>15</v>
      </c>
    </row>
    <row r="13" spans="1:5">
      <c r="A13" s="8">
        <v>3</v>
      </c>
      <c r="B13" s="2" t="s">
        <v>119</v>
      </c>
      <c r="C13" s="3">
        <v>90</v>
      </c>
      <c r="D13" s="14">
        <f>142*90/110</f>
        <v>116.18181818181819</v>
      </c>
      <c r="E13" s="113">
        <v>40</v>
      </c>
    </row>
    <row r="14" spans="1:5">
      <c r="A14" s="8">
        <v>4</v>
      </c>
      <c r="B14" s="2" t="s">
        <v>40</v>
      </c>
      <c r="C14" s="4">
        <v>180</v>
      </c>
      <c r="D14" s="14">
        <v>83.4</v>
      </c>
      <c r="E14" s="113">
        <v>10</v>
      </c>
    </row>
    <row r="15" spans="1:5">
      <c r="A15" s="8">
        <v>6</v>
      </c>
      <c r="B15" s="2" t="s">
        <v>7</v>
      </c>
      <c r="C15" s="3">
        <v>20</v>
      </c>
      <c r="D15" s="31">
        <v>47.4</v>
      </c>
      <c r="E15" s="113">
        <v>2</v>
      </c>
    </row>
    <row r="16" spans="1:5">
      <c r="A16" s="8">
        <v>7</v>
      </c>
      <c r="B16" s="2" t="s">
        <v>8</v>
      </c>
      <c r="C16" s="3">
        <v>20</v>
      </c>
      <c r="D16" s="31">
        <v>40.799999999999997</v>
      </c>
      <c r="E16" s="113">
        <v>3</v>
      </c>
    </row>
    <row r="17" spans="1:5" s="26" customFormat="1">
      <c r="A17" s="9"/>
      <c r="B17" s="19" t="s">
        <v>9</v>
      </c>
      <c r="C17" s="11">
        <v>540</v>
      </c>
      <c r="D17" s="21">
        <f>SUM(D11:D16)</f>
        <v>507.63181818181812</v>
      </c>
      <c r="E17" s="21">
        <f>SUM(E11:E16)</f>
        <v>80</v>
      </c>
    </row>
    <row r="18" spans="1:5">
      <c r="A18" s="1"/>
      <c r="B18" s="29"/>
      <c r="C18" s="30"/>
      <c r="D18" s="25"/>
    </row>
    <row r="19" spans="1:5">
      <c r="A19" s="1"/>
      <c r="B19" s="29"/>
      <c r="C19" s="30"/>
      <c r="D19" s="25"/>
    </row>
    <row r="20" spans="1:5">
      <c r="A20" s="27"/>
      <c r="B20" s="148" t="s">
        <v>23</v>
      </c>
      <c r="C20" s="148"/>
      <c r="D20" s="148"/>
    </row>
    <row r="21" spans="1:5">
      <c r="A21" s="151" t="s">
        <v>38</v>
      </c>
      <c r="B21" s="152" t="s">
        <v>0</v>
      </c>
      <c r="C21" s="147" t="s">
        <v>1</v>
      </c>
      <c r="D21" s="147" t="s">
        <v>2</v>
      </c>
      <c r="E21" s="144" t="s">
        <v>114</v>
      </c>
    </row>
    <row r="22" spans="1:5" ht="15.75" thickBot="1">
      <c r="A22" s="155"/>
      <c r="B22" s="152"/>
      <c r="C22" s="147"/>
      <c r="D22" s="147"/>
      <c r="E22" s="144"/>
    </row>
    <row r="23" spans="1:5">
      <c r="A23" s="28">
        <v>1</v>
      </c>
      <c r="B23" s="2" t="s">
        <v>10</v>
      </c>
      <c r="C23" s="3">
        <v>60</v>
      </c>
      <c r="D23" s="14">
        <f>1338*0.06</f>
        <v>80.28</v>
      </c>
      <c r="E23" s="112">
        <v>10</v>
      </c>
    </row>
    <row r="24" spans="1:5">
      <c r="A24" s="8">
        <v>2</v>
      </c>
      <c r="B24" s="2" t="s">
        <v>11</v>
      </c>
      <c r="C24" s="3">
        <v>200</v>
      </c>
      <c r="D24" s="14">
        <f>415*0.2</f>
        <v>83</v>
      </c>
      <c r="E24" s="113">
        <v>20</v>
      </c>
    </row>
    <row r="25" spans="1:5">
      <c r="A25" s="8">
        <v>3</v>
      </c>
      <c r="B25" s="2" t="s">
        <v>63</v>
      </c>
      <c r="C25" s="3">
        <v>150</v>
      </c>
      <c r="D25" s="14">
        <f>915*0.15</f>
        <v>137.25</v>
      </c>
      <c r="E25" s="113">
        <v>20</v>
      </c>
    </row>
    <row r="26" spans="1:5">
      <c r="A26" s="8">
        <v>4</v>
      </c>
      <c r="B26" s="2" t="s">
        <v>99</v>
      </c>
      <c r="C26" s="3">
        <v>100</v>
      </c>
      <c r="D26" s="14">
        <v>185</v>
      </c>
      <c r="E26" s="113">
        <v>34.700000000000003</v>
      </c>
    </row>
    <row r="27" spans="1:5">
      <c r="A27" s="8">
        <v>5</v>
      </c>
      <c r="B27" s="2" t="s">
        <v>100</v>
      </c>
      <c r="C27" s="3">
        <v>200</v>
      </c>
      <c r="D27" s="14">
        <v>154.6</v>
      </c>
      <c r="E27" s="113">
        <v>10</v>
      </c>
    </row>
    <row r="28" spans="1:5">
      <c r="A28" s="8">
        <v>6</v>
      </c>
      <c r="B28" s="2" t="s">
        <v>6</v>
      </c>
      <c r="C28" s="3">
        <v>100</v>
      </c>
      <c r="D28" s="14">
        <v>56.4</v>
      </c>
      <c r="E28" s="113">
        <v>10</v>
      </c>
    </row>
    <row r="29" spans="1:5">
      <c r="A29" s="8">
        <v>7</v>
      </c>
      <c r="B29" s="2" t="s">
        <v>7</v>
      </c>
      <c r="C29" s="3">
        <v>50</v>
      </c>
      <c r="D29" s="31">
        <v>118.4</v>
      </c>
      <c r="E29" s="113">
        <v>5</v>
      </c>
    </row>
    <row r="30" spans="1:5">
      <c r="A30" s="9">
        <v>8</v>
      </c>
      <c r="B30" s="2" t="s">
        <v>8</v>
      </c>
      <c r="C30" s="3">
        <v>30</v>
      </c>
      <c r="D30" s="31">
        <v>61.2</v>
      </c>
      <c r="E30" s="113">
        <v>4.5</v>
      </c>
    </row>
    <row r="31" spans="1:5" s="26" customFormat="1">
      <c r="A31" s="17"/>
      <c r="B31" s="10" t="s">
        <v>9</v>
      </c>
      <c r="C31" s="11">
        <v>890</v>
      </c>
      <c r="D31" s="21">
        <f>SUM(D23:D30)</f>
        <v>876.13</v>
      </c>
      <c r="E31" s="21">
        <f>SUM(E23:E30)</f>
        <v>114.2</v>
      </c>
    </row>
    <row r="32" spans="1:5" s="26" customFormat="1">
      <c r="A32" s="13"/>
      <c r="B32" s="15"/>
      <c r="C32" s="16"/>
      <c r="D32" s="98"/>
    </row>
    <row r="33" spans="1:5">
      <c r="A33" s="27"/>
      <c r="B33" s="148" t="s">
        <v>25</v>
      </c>
      <c r="C33" s="148"/>
      <c r="D33" s="148"/>
    </row>
    <row r="34" spans="1:5">
      <c r="A34" s="146" t="s">
        <v>38</v>
      </c>
      <c r="B34" s="147" t="s">
        <v>0</v>
      </c>
      <c r="C34" s="147" t="s">
        <v>1</v>
      </c>
      <c r="D34" s="147" t="s">
        <v>2</v>
      </c>
      <c r="E34" s="144" t="s">
        <v>114</v>
      </c>
    </row>
    <row r="35" spans="1:5">
      <c r="A35" s="153"/>
      <c r="B35" s="147"/>
      <c r="C35" s="147"/>
      <c r="D35" s="147"/>
      <c r="E35" s="144"/>
    </row>
    <row r="36" spans="1:5">
      <c r="A36" s="33">
        <v>1</v>
      </c>
      <c r="B36" s="2" t="s">
        <v>101</v>
      </c>
      <c r="C36" s="4" t="s">
        <v>81</v>
      </c>
      <c r="D36" s="120">
        <v>291.3</v>
      </c>
      <c r="E36" s="121">
        <f>49.72-20</f>
        <v>29.72</v>
      </c>
    </row>
    <row r="37" spans="1:5">
      <c r="A37" s="8">
        <v>2</v>
      </c>
      <c r="B37" s="2" t="s">
        <v>102</v>
      </c>
      <c r="C37" s="4" t="s">
        <v>103</v>
      </c>
      <c r="D37" s="120">
        <v>104.2</v>
      </c>
      <c r="E37" s="121">
        <v>10</v>
      </c>
    </row>
    <row r="38" spans="1:5">
      <c r="A38" s="8">
        <v>3</v>
      </c>
      <c r="B38" s="5" t="s">
        <v>69</v>
      </c>
      <c r="C38" s="6">
        <v>200</v>
      </c>
      <c r="D38" s="20">
        <f>503*0.2</f>
        <v>100.60000000000001</v>
      </c>
      <c r="E38" s="121">
        <v>10</v>
      </c>
    </row>
    <row r="39" spans="1:5" s="26" customFormat="1">
      <c r="A39" s="9"/>
      <c r="B39" s="19" t="s">
        <v>9</v>
      </c>
      <c r="C39" s="18">
        <v>400</v>
      </c>
      <c r="D39" s="111">
        <f>SUM(D36:D38)</f>
        <v>496.1</v>
      </c>
      <c r="E39" s="122">
        <v>49.72</v>
      </c>
    </row>
    <row r="41" spans="1:5">
      <c r="A41" s="22" t="str">
        <f>'1 Д 1 Н'!A38</f>
        <v xml:space="preserve">    Заведующий производством  _______________/  ______________/                              /</v>
      </c>
      <c r="B41" s="15"/>
      <c r="C41" s="23"/>
      <c r="D41" s="24"/>
    </row>
  </sheetData>
  <mergeCells count="18">
    <mergeCell ref="B8:D8"/>
    <mergeCell ref="A9:A10"/>
    <mergeCell ref="B9:B10"/>
    <mergeCell ref="C9:C10"/>
    <mergeCell ref="D9:D10"/>
    <mergeCell ref="E9:E10"/>
    <mergeCell ref="E21:E22"/>
    <mergeCell ref="E34:E35"/>
    <mergeCell ref="A34:A35"/>
    <mergeCell ref="B34:B35"/>
    <mergeCell ref="C34:C35"/>
    <mergeCell ref="D34:D35"/>
    <mergeCell ref="B20:D20"/>
    <mergeCell ref="A21:A22"/>
    <mergeCell ref="B21:B22"/>
    <mergeCell ref="C21:C22"/>
    <mergeCell ref="D21:D22"/>
    <mergeCell ref="B33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topLeftCell="A25" workbookViewId="0">
      <selection activeCell="L33" sqref="L33"/>
    </sheetView>
  </sheetViews>
  <sheetFormatPr defaultColWidth="8.85546875" defaultRowHeight="15"/>
  <cols>
    <col min="1" max="1" width="6.85546875" style="34" customWidth="1"/>
    <col min="2" max="2" width="46.42578125" style="32" customWidth="1"/>
    <col min="3" max="3" width="11.7109375" style="32" customWidth="1"/>
    <col min="4" max="4" width="12.28515625" style="108" customWidth="1"/>
    <col min="5" max="5" width="13.85546875" style="32" customWidth="1"/>
    <col min="6" max="16384" width="8.85546875" style="32"/>
  </cols>
  <sheetData>
    <row r="1" spans="1:5" s="37" customFormat="1" ht="26.25" customHeight="1">
      <c r="A1" s="67" t="s">
        <v>24</v>
      </c>
      <c r="B1" s="7"/>
      <c r="C1" s="109"/>
      <c r="D1" s="132" t="s">
        <v>18</v>
      </c>
      <c r="E1" s="125"/>
    </row>
    <row r="2" spans="1:5" s="37" customFormat="1" ht="26.25" customHeight="1">
      <c r="A2" s="67" t="s">
        <v>19</v>
      </c>
      <c r="B2" s="7"/>
      <c r="C2" s="132" t="str">
        <f>'1 Д 1 Н'!C2</f>
        <v>Директор МБОУ _____________</v>
      </c>
      <c r="D2" s="125"/>
      <c r="E2" s="125"/>
    </row>
    <row r="3" spans="1:5" s="37" customFormat="1" ht="26.25" customHeight="1">
      <c r="A3" s="67" t="s">
        <v>20</v>
      </c>
      <c r="B3" s="7"/>
      <c r="C3" s="132" t="str">
        <f>'1 Д 1 Н'!C3</f>
        <v>______________/______________/</v>
      </c>
      <c r="D3" s="125"/>
      <c r="E3" s="125"/>
    </row>
    <row r="4" spans="1:5" s="37" customFormat="1" ht="26.25" customHeight="1">
      <c r="A4" s="67" t="s">
        <v>104</v>
      </c>
      <c r="B4" s="7"/>
      <c r="C4" s="124" t="str">
        <f>'1 Д 1 Н'!C4:D4</f>
        <v>"____"__________2023 г.</v>
      </c>
      <c r="D4" s="125"/>
      <c r="E4" s="125"/>
    </row>
    <row r="6" spans="1:5" s="38" customFormat="1" ht="28.35" customHeight="1">
      <c r="A6" s="68"/>
      <c r="B6" s="130" t="s">
        <v>21</v>
      </c>
      <c r="C6" s="130"/>
      <c r="D6" s="130"/>
    </row>
    <row r="7" spans="1:5">
      <c r="A7" s="127" t="s">
        <v>22</v>
      </c>
      <c r="B7" s="129" t="s">
        <v>0</v>
      </c>
      <c r="C7" s="123" t="s">
        <v>1</v>
      </c>
      <c r="D7" s="133" t="s">
        <v>2</v>
      </c>
      <c r="E7" s="123" t="s">
        <v>114</v>
      </c>
    </row>
    <row r="8" spans="1:5" ht="15.75" thickBot="1">
      <c r="A8" s="128"/>
      <c r="B8" s="129"/>
      <c r="C8" s="123"/>
      <c r="D8" s="133"/>
      <c r="E8" s="123"/>
    </row>
    <row r="9" spans="1:5">
      <c r="A9" s="39">
        <v>1</v>
      </c>
      <c r="B9" s="40" t="s">
        <v>26</v>
      </c>
      <c r="C9" s="43">
        <v>60</v>
      </c>
      <c r="D9" s="42">
        <f>591*0.06</f>
        <v>35.46</v>
      </c>
      <c r="E9" s="110">
        <v>10</v>
      </c>
    </row>
    <row r="10" spans="1:5">
      <c r="A10" s="39">
        <v>2</v>
      </c>
      <c r="B10" s="40" t="s">
        <v>27</v>
      </c>
      <c r="C10" s="41">
        <v>150</v>
      </c>
      <c r="D10" s="42">
        <f>142*150/105</f>
        <v>202.85714285714286</v>
      </c>
      <c r="E10" s="21">
        <v>20</v>
      </c>
    </row>
    <row r="11" spans="1:5">
      <c r="A11" s="39">
        <v>3</v>
      </c>
      <c r="B11" s="40" t="s">
        <v>28</v>
      </c>
      <c r="C11" s="43">
        <v>90</v>
      </c>
      <c r="D11" s="42">
        <f>161*90/55</f>
        <v>263.45454545454544</v>
      </c>
      <c r="E11" s="21">
        <v>40</v>
      </c>
    </row>
    <row r="12" spans="1:5">
      <c r="A12" s="39">
        <v>4</v>
      </c>
      <c r="B12" s="56" t="s">
        <v>29</v>
      </c>
      <c r="C12" s="54">
        <v>200</v>
      </c>
      <c r="D12" s="70">
        <f>503*0.2</f>
        <v>100.60000000000001</v>
      </c>
      <c r="E12" s="111">
        <v>10</v>
      </c>
    </row>
    <row r="13" spans="1:5">
      <c r="A13" s="39">
        <v>5</v>
      </c>
      <c r="B13" s="40" t="s">
        <v>7</v>
      </c>
      <c r="C13" s="41">
        <v>20</v>
      </c>
      <c r="D13" s="42">
        <f>118.4*20/50</f>
        <v>47.36</v>
      </c>
      <c r="E13" s="21">
        <v>2</v>
      </c>
    </row>
    <row r="14" spans="1:5">
      <c r="A14" s="39">
        <v>6</v>
      </c>
      <c r="B14" s="40" t="s">
        <v>8</v>
      </c>
      <c r="C14" s="41">
        <v>20</v>
      </c>
      <c r="D14" s="42">
        <v>40.799999999999997</v>
      </c>
      <c r="E14" s="21">
        <v>3</v>
      </c>
    </row>
    <row r="15" spans="1:5" s="35" customFormat="1" ht="14.25">
      <c r="A15" s="44"/>
      <c r="B15" s="45" t="s">
        <v>9</v>
      </c>
      <c r="C15" s="46">
        <f>SUM(C9:C14)</f>
        <v>540</v>
      </c>
      <c r="D15" s="71">
        <f t="shared" ref="D15:E15" si="0">SUM(D9:D14)</f>
        <v>690.5316883116883</v>
      </c>
      <c r="E15" s="46">
        <f t="shared" si="0"/>
        <v>85</v>
      </c>
    </row>
    <row r="16" spans="1:5">
      <c r="A16" s="72"/>
      <c r="B16" s="135"/>
      <c r="C16" s="135"/>
      <c r="D16" s="135"/>
    </row>
    <row r="17" spans="1:5" s="38" customFormat="1" ht="28.35" customHeight="1">
      <c r="A17" s="72"/>
      <c r="B17" s="130" t="s">
        <v>23</v>
      </c>
      <c r="C17" s="130"/>
      <c r="D17" s="130"/>
    </row>
    <row r="18" spans="1:5" s="38" customFormat="1" ht="13.35" customHeight="1">
      <c r="A18" s="127" t="s">
        <v>22</v>
      </c>
      <c r="B18" s="129" t="s">
        <v>0</v>
      </c>
      <c r="C18" s="123" t="s">
        <v>1</v>
      </c>
      <c r="D18" s="133" t="s">
        <v>2</v>
      </c>
      <c r="E18" s="123" t="s">
        <v>114</v>
      </c>
    </row>
    <row r="19" spans="1:5" s="38" customFormat="1" ht="32.25" customHeight="1" thickBot="1">
      <c r="A19" s="128"/>
      <c r="B19" s="129"/>
      <c r="C19" s="123"/>
      <c r="D19" s="133"/>
      <c r="E19" s="123"/>
    </row>
    <row r="20" spans="1:5" ht="30">
      <c r="A20" s="39">
        <v>1</v>
      </c>
      <c r="B20" s="73" t="s">
        <v>30</v>
      </c>
      <c r="C20" s="41">
        <v>60</v>
      </c>
      <c r="D20" s="42">
        <f>1319*0.06</f>
        <v>79.14</v>
      </c>
      <c r="E20" s="110">
        <v>10</v>
      </c>
    </row>
    <row r="21" spans="1:5">
      <c r="A21" s="39">
        <v>2</v>
      </c>
      <c r="B21" s="73" t="s">
        <v>31</v>
      </c>
      <c r="C21" s="41">
        <v>200</v>
      </c>
      <c r="D21" s="42">
        <f>593*0.2</f>
        <v>118.60000000000001</v>
      </c>
      <c r="E21" s="21">
        <v>20</v>
      </c>
    </row>
    <row r="22" spans="1:5">
      <c r="A22" s="39">
        <v>3</v>
      </c>
      <c r="B22" s="73" t="s">
        <v>32</v>
      </c>
      <c r="C22" s="41">
        <v>150</v>
      </c>
      <c r="D22" s="42">
        <f>90*150/100</f>
        <v>135</v>
      </c>
      <c r="E22" s="21">
        <v>20</v>
      </c>
    </row>
    <row r="23" spans="1:5">
      <c r="A23" s="39">
        <v>4</v>
      </c>
      <c r="B23" s="73" t="s">
        <v>33</v>
      </c>
      <c r="C23" s="43">
        <v>90</v>
      </c>
      <c r="D23" s="42">
        <f>143*90/60</f>
        <v>214.5</v>
      </c>
      <c r="E23" s="21">
        <v>36</v>
      </c>
    </row>
    <row r="24" spans="1:5">
      <c r="A24" s="39">
        <v>5</v>
      </c>
      <c r="B24" s="73" t="s">
        <v>34</v>
      </c>
      <c r="C24" s="41">
        <v>200</v>
      </c>
      <c r="D24" s="42">
        <v>83.4</v>
      </c>
      <c r="E24" s="21">
        <v>10</v>
      </c>
    </row>
    <row r="25" spans="1:5">
      <c r="A25" s="39">
        <v>6</v>
      </c>
      <c r="B25" s="73" t="s">
        <v>35</v>
      </c>
      <c r="C25" s="41">
        <v>200</v>
      </c>
      <c r="D25" s="42">
        <v>52</v>
      </c>
      <c r="E25" s="21">
        <v>25</v>
      </c>
    </row>
    <row r="26" spans="1:5">
      <c r="A26" s="39">
        <v>7</v>
      </c>
      <c r="B26" s="73" t="s">
        <v>7</v>
      </c>
      <c r="C26" s="41">
        <v>30</v>
      </c>
      <c r="D26" s="42">
        <v>47.4</v>
      </c>
      <c r="E26" s="21">
        <v>3</v>
      </c>
    </row>
    <row r="27" spans="1:5">
      <c r="A27" s="57">
        <v>8</v>
      </c>
      <c r="B27" s="74" t="s">
        <v>8</v>
      </c>
      <c r="C27" s="75">
        <v>20</v>
      </c>
      <c r="D27" s="107">
        <v>40.799999999999997</v>
      </c>
      <c r="E27" s="21">
        <v>3</v>
      </c>
    </row>
    <row r="28" spans="1:5">
      <c r="A28" s="44"/>
      <c r="B28" s="60" t="s">
        <v>9</v>
      </c>
      <c r="C28" s="76">
        <f>SUM(C20:C27)</f>
        <v>950</v>
      </c>
      <c r="D28" s="76">
        <f t="shared" ref="D28:E28" si="1">SUM(D20:D27)</f>
        <v>770.83999999999992</v>
      </c>
      <c r="E28" s="76">
        <f t="shared" si="1"/>
        <v>127</v>
      </c>
    </row>
    <row r="29" spans="1:5" s="36" customFormat="1">
      <c r="A29" s="77"/>
      <c r="B29" s="136"/>
      <c r="C29" s="136"/>
      <c r="D29" s="136"/>
    </row>
    <row r="30" spans="1:5" s="38" customFormat="1" ht="28.35" customHeight="1">
      <c r="A30" s="72"/>
      <c r="B30" s="130" t="s">
        <v>25</v>
      </c>
      <c r="C30" s="130"/>
      <c r="D30" s="130"/>
    </row>
    <row r="31" spans="1:5" s="38" customFormat="1" ht="13.35" customHeight="1">
      <c r="A31" s="127" t="s">
        <v>22</v>
      </c>
      <c r="B31" s="129" t="s">
        <v>0</v>
      </c>
      <c r="C31" s="123" t="s">
        <v>1</v>
      </c>
      <c r="D31" s="133" t="s">
        <v>2</v>
      </c>
      <c r="E31" s="123" t="s">
        <v>114</v>
      </c>
    </row>
    <row r="32" spans="1:5" s="38" customFormat="1" ht="31.5" customHeight="1">
      <c r="A32" s="128"/>
      <c r="B32" s="129"/>
      <c r="C32" s="123"/>
      <c r="D32" s="134"/>
      <c r="E32" s="123"/>
    </row>
    <row r="33" spans="1:5" ht="30">
      <c r="A33" s="39">
        <v>1</v>
      </c>
      <c r="B33" s="56" t="s">
        <v>36</v>
      </c>
      <c r="C33" s="54">
        <v>150</v>
      </c>
      <c r="D33" s="55">
        <f>138*150/80</f>
        <v>258.75</v>
      </c>
      <c r="E33" s="44">
        <f>49.72-10</f>
        <v>39.72</v>
      </c>
    </row>
    <row r="34" spans="1:5" ht="30">
      <c r="A34" s="39">
        <v>2</v>
      </c>
      <c r="B34" s="40" t="s">
        <v>37</v>
      </c>
      <c r="C34" s="54">
        <v>200</v>
      </c>
      <c r="D34" s="55">
        <f>112*0.2</f>
        <v>22.400000000000002</v>
      </c>
      <c r="E34" s="44">
        <v>10</v>
      </c>
    </row>
    <row r="35" spans="1:5" s="35" customFormat="1" ht="14.25">
      <c r="A35" s="44"/>
      <c r="B35" s="45" t="s">
        <v>9</v>
      </c>
      <c r="C35" s="46">
        <f>SUM(C33:C34)</f>
        <v>350</v>
      </c>
      <c r="D35" s="46">
        <f t="shared" ref="D35:E35" si="2">SUM(D33:D34)</f>
        <v>281.14999999999998</v>
      </c>
      <c r="E35" s="46">
        <f t="shared" si="2"/>
        <v>49.72</v>
      </c>
    </row>
    <row r="38" spans="1:5" s="47" customFormat="1" ht="21.6" customHeight="1">
      <c r="A38" s="53" t="str">
        <f>'1 Д 1 Н'!A38</f>
        <v xml:space="preserve">    Заведующий производством  _______________/  ______________/                              /</v>
      </c>
      <c r="B38" s="49"/>
      <c r="C38" s="63"/>
      <c r="D38" s="64"/>
    </row>
  </sheetData>
  <mergeCells count="24">
    <mergeCell ref="A7:A8"/>
    <mergeCell ref="B7:B8"/>
    <mergeCell ref="C7:C8"/>
    <mergeCell ref="D7:D8"/>
    <mergeCell ref="A18:A19"/>
    <mergeCell ref="B18:B19"/>
    <mergeCell ref="C18:C19"/>
    <mergeCell ref="D18:D19"/>
    <mergeCell ref="A31:A32"/>
    <mergeCell ref="B31:B32"/>
    <mergeCell ref="C31:C32"/>
    <mergeCell ref="D31:D32"/>
    <mergeCell ref="B29:D29"/>
    <mergeCell ref="B30:D30"/>
    <mergeCell ref="E7:E8"/>
    <mergeCell ref="E18:E19"/>
    <mergeCell ref="E31:E32"/>
    <mergeCell ref="D1:E1"/>
    <mergeCell ref="C2:E2"/>
    <mergeCell ref="C3:E3"/>
    <mergeCell ref="C4:E4"/>
    <mergeCell ref="B16:D16"/>
    <mergeCell ref="B6:D6"/>
    <mergeCell ref="B17:D17"/>
  </mergeCells>
  <pageMargins left="0.70866141732283472" right="0.70866141732283472" top="0.3937007874015748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topLeftCell="A16" workbookViewId="0">
      <selection activeCell="L31" sqref="L31"/>
    </sheetView>
  </sheetViews>
  <sheetFormatPr defaultColWidth="8.85546875" defaultRowHeight="15"/>
  <cols>
    <col min="1" max="1" width="6" style="32" customWidth="1"/>
    <col min="2" max="2" width="53" style="32" customWidth="1"/>
    <col min="3" max="3" width="13" style="32" customWidth="1"/>
    <col min="4" max="4" width="11.85546875" style="108" customWidth="1"/>
    <col min="5" max="16384" width="8.85546875" style="32"/>
  </cols>
  <sheetData>
    <row r="1" spans="1:5" s="37" customFormat="1" ht="26.25" customHeight="1">
      <c r="A1" s="67" t="s">
        <v>24</v>
      </c>
      <c r="B1" s="7"/>
      <c r="C1" s="7"/>
      <c r="D1" s="124" t="s">
        <v>18</v>
      </c>
      <c r="E1" s="125"/>
    </row>
    <row r="2" spans="1:5" s="37" customFormat="1" ht="26.25" customHeight="1">
      <c r="A2" s="67" t="s">
        <v>19</v>
      </c>
      <c r="B2" s="7"/>
      <c r="C2" s="124" t="str">
        <f>'1 Д 1 Н'!C2</f>
        <v>Директор МБОУ _____________</v>
      </c>
      <c r="D2" s="125"/>
      <c r="E2" s="125"/>
    </row>
    <row r="3" spans="1:5" s="37" customFormat="1" ht="26.25" customHeight="1">
      <c r="A3" s="67" t="s">
        <v>20</v>
      </c>
      <c r="B3" s="7"/>
      <c r="C3" s="124" t="str">
        <f>'1 Д 1 Н'!C3</f>
        <v>______________/______________/</v>
      </c>
      <c r="D3" s="125"/>
      <c r="E3" s="125"/>
    </row>
    <row r="4" spans="1:5" s="37" customFormat="1" ht="26.25" customHeight="1">
      <c r="A4" s="67" t="s">
        <v>104</v>
      </c>
      <c r="B4" s="7"/>
      <c r="C4" s="124" t="str">
        <f>'1 Д 1 Н'!C4:D4</f>
        <v>"____"__________2023 г.</v>
      </c>
      <c r="D4" s="125"/>
      <c r="E4" s="125"/>
    </row>
    <row r="5" spans="1:5">
      <c r="A5" s="34"/>
    </row>
    <row r="6" spans="1:5" s="38" customFormat="1" ht="28.35" customHeight="1">
      <c r="A6" s="68"/>
      <c r="B6" s="130" t="s">
        <v>21</v>
      </c>
      <c r="C6" s="130"/>
      <c r="D6" s="130"/>
    </row>
    <row r="7" spans="1:5" s="38" customFormat="1" ht="13.35" customHeight="1">
      <c r="A7" s="127" t="s">
        <v>38</v>
      </c>
      <c r="B7" s="129" t="s">
        <v>0</v>
      </c>
      <c r="C7" s="123" t="s">
        <v>1</v>
      </c>
      <c r="D7" s="133" t="s">
        <v>2</v>
      </c>
      <c r="E7" s="123" t="s">
        <v>114</v>
      </c>
    </row>
    <row r="8" spans="1:5" s="38" customFormat="1" ht="37.5" customHeight="1" thickBot="1">
      <c r="A8" s="128"/>
      <c r="B8" s="129"/>
      <c r="C8" s="123"/>
      <c r="D8" s="133"/>
      <c r="E8" s="123"/>
    </row>
    <row r="9" spans="1:5" s="38" customFormat="1" ht="12.2" customHeight="1">
      <c r="A9" s="39">
        <v>1</v>
      </c>
      <c r="B9" s="40" t="s">
        <v>39</v>
      </c>
      <c r="C9" s="43">
        <v>60</v>
      </c>
      <c r="D9" s="42">
        <f>10*60/100</f>
        <v>6</v>
      </c>
      <c r="E9" s="110">
        <v>10</v>
      </c>
    </row>
    <row r="10" spans="1:5" s="38" customFormat="1" ht="12.2" customHeight="1">
      <c r="A10" s="39">
        <v>2</v>
      </c>
      <c r="B10" s="40" t="s">
        <v>115</v>
      </c>
      <c r="C10" s="41">
        <v>150</v>
      </c>
      <c r="D10" s="42">
        <f>200*150/117</f>
        <v>256.41025641025641</v>
      </c>
      <c r="E10" s="21">
        <v>40</v>
      </c>
    </row>
    <row r="11" spans="1:5" s="38" customFormat="1" ht="12.2" customHeight="1">
      <c r="A11" s="39">
        <v>3</v>
      </c>
      <c r="B11" s="40" t="s">
        <v>116</v>
      </c>
      <c r="C11" s="41">
        <v>80</v>
      </c>
      <c r="D11" s="42">
        <v>186.69</v>
      </c>
      <c r="E11" s="21">
        <v>20</v>
      </c>
    </row>
    <row r="12" spans="1:5" s="38" customFormat="1" ht="12.2" customHeight="1">
      <c r="A12" s="39">
        <v>4</v>
      </c>
      <c r="B12" s="40" t="s">
        <v>40</v>
      </c>
      <c r="C12" s="41">
        <v>200</v>
      </c>
      <c r="D12" s="42">
        <v>83.4</v>
      </c>
      <c r="E12" s="21">
        <v>10</v>
      </c>
    </row>
    <row r="13" spans="1:5" s="38" customFormat="1" ht="12.2" customHeight="1">
      <c r="A13" s="39">
        <v>5</v>
      </c>
      <c r="B13" s="40" t="s">
        <v>7</v>
      </c>
      <c r="C13" s="41">
        <v>20</v>
      </c>
      <c r="D13" s="42">
        <v>47.4</v>
      </c>
      <c r="E13" s="21">
        <v>2</v>
      </c>
    </row>
    <row r="14" spans="1:5" s="38" customFormat="1" ht="12.2" customHeight="1">
      <c r="A14" s="39">
        <v>6</v>
      </c>
      <c r="B14" s="40" t="s">
        <v>8</v>
      </c>
      <c r="C14" s="41">
        <v>20</v>
      </c>
      <c r="D14" s="42">
        <v>40.799999999999997</v>
      </c>
      <c r="E14" s="21">
        <v>3</v>
      </c>
    </row>
    <row r="15" spans="1:5" s="47" customFormat="1" ht="12.2" customHeight="1">
      <c r="A15" s="52"/>
      <c r="B15" s="45" t="s">
        <v>9</v>
      </c>
      <c r="C15" s="79">
        <v>530</v>
      </c>
      <c r="D15" s="71">
        <f>SUM(D9:D14)</f>
        <v>620.70025641025632</v>
      </c>
      <c r="E15" s="46">
        <f t="shared" ref="E15" si="0">SUM(E9:E14)</f>
        <v>85</v>
      </c>
    </row>
    <row r="16" spans="1:5" s="38" customFormat="1" ht="12.2" customHeight="1">
      <c r="B16" s="80"/>
      <c r="C16" s="81"/>
      <c r="D16" s="66"/>
    </row>
    <row r="17" spans="1:5" s="38" customFormat="1" ht="28.35" customHeight="1">
      <c r="A17" s="68"/>
      <c r="B17" s="130" t="s">
        <v>23</v>
      </c>
      <c r="C17" s="130"/>
      <c r="D17" s="130"/>
    </row>
    <row r="18" spans="1:5" s="38" customFormat="1" ht="13.35" customHeight="1">
      <c r="A18" s="127" t="s">
        <v>38</v>
      </c>
      <c r="B18" s="123" t="s">
        <v>0</v>
      </c>
      <c r="C18" s="123" t="s">
        <v>1</v>
      </c>
      <c r="D18" s="133" t="s">
        <v>2</v>
      </c>
      <c r="E18" s="123" t="s">
        <v>114</v>
      </c>
    </row>
    <row r="19" spans="1:5" s="38" customFormat="1" ht="52.5" customHeight="1" thickBot="1">
      <c r="A19" s="128"/>
      <c r="B19" s="123"/>
      <c r="C19" s="123"/>
      <c r="D19" s="133"/>
      <c r="E19" s="123"/>
    </row>
    <row r="20" spans="1:5" s="38" customFormat="1" ht="12.2" customHeight="1">
      <c r="A20" s="39">
        <v>1</v>
      </c>
      <c r="B20" s="73" t="s">
        <v>41</v>
      </c>
      <c r="C20" s="43">
        <v>60</v>
      </c>
      <c r="D20" s="42">
        <f>604*0.06</f>
        <v>36.24</v>
      </c>
      <c r="E20" s="110">
        <v>10</v>
      </c>
    </row>
    <row r="21" spans="1:5" s="38" customFormat="1" ht="12.2" customHeight="1">
      <c r="A21" s="39">
        <v>2</v>
      </c>
      <c r="B21" s="73" t="s">
        <v>42</v>
      </c>
      <c r="C21" s="41">
        <v>200</v>
      </c>
      <c r="D21" s="42">
        <f>460*0.2</f>
        <v>92</v>
      </c>
      <c r="E21" s="21">
        <v>20</v>
      </c>
    </row>
    <row r="22" spans="1:5" s="38" customFormat="1" ht="12.2" customHeight="1">
      <c r="A22" s="39">
        <v>3</v>
      </c>
      <c r="B22" s="73" t="s">
        <v>43</v>
      </c>
      <c r="C22" s="41">
        <v>150</v>
      </c>
      <c r="D22" s="42">
        <f>295*150/175</f>
        <v>252.85714285714286</v>
      </c>
      <c r="E22" s="21">
        <v>40</v>
      </c>
    </row>
    <row r="23" spans="1:5" s="38" customFormat="1" ht="12.2" customHeight="1">
      <c r="A23" s="39">
        <v>4</v>
      </c>
      <c r="B23" s="73" t="s">
        <v>44</v>
      </c>
      <c r="C23" s="41">
        <v>180</v>
      </c>
      <c r="D23" s="42">
        <f>100*180/200</f>
        <v>90</v>
      </c>
      <c r="E23" s="21">
        <v>10</v>
      </c>
    </row>
    <row r="24" spans="1:5" s="38" customFormat="1" ht="12.2" customHeight="1">
      <c r="A24" s="39">
        <v>5</v>
      </c>
      <c r="B24" s="82" t="s">
        <v>45</v>
      </c>
      <c r="C24" s="54">
        <v>100</v>
      </c>
      <c r="D24" s="70">
        <v>56.4</v>
      </c>
      <c r="E24" s="111">
        <v>10</v>
      </c>
    </row>
    <row r="25" spans="1:5" s="38" customFormat="1" ht="12.2" customHeight="1">
      <c r="A25" s="83">
        <v>6</v>
      </c>
      <c r="B25" s="73" t="s">
        <v>46</v>
      </c>
      <c r="C25" s="41">
        <v>15</v>
      </c>
      <c r="D25" s="42">
        <f>123.4*15/40</f>
        <v>46.274999999999999</v>
      </c>
      <c r="E25" s="21">
        <v>6</v>
      </c>
    </row>
    <row r="26" spans="1:5" s="38" customFormat="1" ht="12.2" customHeight="1">
      <c r="A26" s="83">
        <v>7</v>
      </c>
      <c r="B26" s="73" t="s">
        <v>112</v>
      </c>
      <c r="C26" s="41">
        <v>30</v>
      </c>
      <c r="D26" s="42">
        <v>90</v>
      </c>
      <c r="E26" s="21">
        <v>10</v>
      </c>
    </row>
    <row r="27" spans="1:5" s="38" customFormat="1" ht="12.2" customHeight="1">
      <c r="A27" s="83">
        <v>8</v>
      </c>
      <c r="B27" s="73" t="s">
        <v>7</v>
      </c>
      <c r="C27" s="41">
        <v>60</v>
      </c>
      <c r="D27" s="42">
        <f>118.4+60/50</f>
        <v>119.60000000000001</v>
      </c>
      <c r="E27" s="41">
        <v>6</v>
      </c>
    </row>
    <row r="28" spans="1:5" s="47" customFormat="1" ht="21.6" customHeight="1">
      <c r="A28" s="52"/>
      <c r="B28" s="84" t="s">
        <v>9</v>
      </c>
      <c r="C28" s="79">
        <f>SUM(C20:C27)</f>
        <v>795</v>
      </c>
      <c r="D28" s="71">
        <f t="shared" ref="D28:E28" si="1">SUM(D20:D27)</f>
        <v>783.37214285714288</v>
      </c>
      <c r="E28" s="79">
        <f t="shared" si="1"/>
        <v>112</v>
      </c>
    </row>
    <row r="29" spans="1:5" s="38" customFormat="1" ht="21.6" customHeight="1">
      <c r="B29" s="80"/>
      <c r="C29" s="81"/>
      <c r="D29" s="66"/>
    </row>
    <row r="30" spans="1:5" s="38" customFormat="1" ht="28.35" customHeight="1">
      <c r="A30" s="68"/>
      <c r="B30" s="130" t="s">
        <v>25</v>
      </c>
      <c r="C30" s="130"/>
      <c r="D30" s="130"/>
    </row>
    <row r="31" spans="1:5" s="38" customFormat="1" ht="13.35" customHeight="1">
      <c r="A31" s="127" t="s">
        <v>38</v>
      </c>
      <c r="B31" s="123" t="s">
        <v>0</v>
      </c>
      <c r="C31" s="123" t="s">
        <v>1</v>
      </c>
      <c r="D31" s="133" t="s">
        <v>2</v>
      </c>
      <c r="E31" s="123" t="s">
        <v>114</v>
      </c>
    </row>
    <row r="32" spans="1:5" s="38" customFormat="1" ht="26.65" customHeight="1">
      <c r="A32" s="128"/>
      <c r="B32" s="123"/>
      <c r="C32" s="123"/>
      <c r="D32" s="133"/>
      <c r="E32" s="123"/>
    </row>
    <row r="33" spans="1:5" s="38" customFormat="1" ht="12.2" customHeight="1">
      <c r="A33" s="39">
        <v>1</v>
      </c>
      <c r="B33" s="40" t="s">
        <v>47</v>
      </c>
      <c r="C33" s="41">
        <v>100</v>
      </c>
      <c r="D33" s="42">
        <v>226.25</v>
      </c>
      <c r="E33" s="101">
        <v>39.72</v>
      </c>
    </row>
    <row r="34" spans="1:5" s="38" customFormat="1" ht="12.2" customHeight="1">
      <c r="A34" s="39">
        <v>2</v>
      </c>
      <c r="B34" s="40" t="s">
        <v>5</v>
      </c>
      <c r="C34" s="43">
        <v>200</v>
      </c>
      <c r="D34" s="42">
        <v>81</v>
      </c>
      <c r="E34" s="101">
        <v>10</v>
      </c>
    </row>
    <row r="35" spans="1:5" s="47" customFormat="1" ht="12.2" customHeight="1">
      <c r="A35" s="52"/>
      <c r="B35" s="45" t="s">
        <v>9</v>
      </c>
      <c r="C35" s="46">
        <f>SUM(C33:C34)</f>
        <v>300</v>
      </c>
      <c r="D35" s="71">
        <f t="shared" ref="D35:E35" si="2">SUM(D33:D34)</f>
        <v>307.25</v>
      </c>
      <c r="E35" s="46">
        <f t="shared" si="2"/>
        <v>49.72</v>
      </c>
    </row>
    <row r="36" spans="1:5" s="38" customFormat="1" ht="12.2" customHeight="1">
      <c r="B36" s="80"/>
      <c r="C36" s="85"/>
      <c r="D36" s="66"/>
    </row>
    <row r="37" spans="1:5" s="47" customFormat="1" ht="21.6" customHeight="1">
      <c r="A37" s="53" t="str">
        <f>'1 Д 1 Н'!A38</f>
        <v xml:space="preserve">    Заведующий производством  _______________/  ______________/                              /</v>
      </c>
      <c r="B37" s="49"/>
      <c r="C37" s="63"/>
      <c r="D37" s="64"/>
    </row>
  </sheetData>
  <mergeCells count="22">
    <mergeCell ref="A7:A8"/>
    <mergeCell ref="B7:B8"/>
    <mergeCell ref="C7:C8"/>
    <mergeCell ref="D7:D8"/>
    <mergeCell ref="A31:A32"/>
    <mergeCell ref="B31:B32"/>
    <mergeCell ref="C31:C32"/>
    <mergeCell ref="D31:D32"/>
    <mergeCell ref="B17:D17"/>
    <mergeCell ref="A18:A19"/>
    <mergeCell ref="B18:B19"/>
    <mergeCell ref="C18:C19"/>
    <mergeCell ref="D18:D19"/>
    <mergeCell ref="B30:D30"/>
    <mergeCell ref="E7:E8"/>
    <mergeCell ref="E18:E19"/>
    <mergeCell ref="E31:E32"/>
    <mergeCell ref="D1:E1"/>
    <mergeCell ref="C2:E2"/>
    <mergeCell ref="C3:E3"/>
    <mergeCell ref="C4:E4"/>
    <mergeCell ref="B6:D6"/>
  </mergeCells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0"/>
  <sheetViews>
    <sheetView topLeftCell="A22" workbookViewId="0">
      <selection activeCell="E9" sqref="E9:E10"/>
    </sheetView>
  </sheetViews>
  <sheetFormatPr defaultColWidth="8.85546875" defaultRowHeight="15"/>
  <cols>
    <col min="1" max="1" width="5.7109375" style="32" customWidth="1"/>
    <col min="2" max="2" width="43" style="32" customWidth="1"/>
    <col min="3" max="3" width="16" style="32" customWidth="1"/>
    <col min="4" max="4" width="20.5703125" style="32" customWidth="1"/>
    <col min="5" max="16384" width="8.85546875" style="32"/>
  </cols>
  <sheetData>
    <row r="1" spans="1:5">
      <c r="A1" s="32" t="str">
        <f>'1 Д 1 Н'!A1</f>
        <v>Утверждаю</v>
      </c>
      <c r="D1" s="137" t="str">
        <f>'1 Д 1 Н'!D1</f>
        <v>Согласовано</v>
      </c>
      <c r="E1" s="125"/>
    </row>
    <row r="2" spans="1:5">
      <c r="A2" s="32" t="str">
        <f>'1 Д 1 Н'!A2</f>
        <v>Директор ООО "ВитаЛайн"</v>
      </c>
      <c r="C2" s="137" t="str">
        <f>'1 Д 1 Н'!C2</f>
        <v>Директор МБОУ _____________</v>
      </c>
      <c r="D2" s="125"/>
      <c r="E2" s="125"/>
    </row>
    <row r="3" spans="1:5">
      <c r="A3" s="32" t="str">
        <f>'1 Д 1 Н'!A3</f>
        <v>_____________Н.Н.Клоков</v>
      </c>
      <c r="C3" s="137" t="str">
        <f>'1 Д 1 Н'!C3</f>
        <v>______________/______________/</v>
      </c>
      <c r="D3" s="125"/>
      <c r="E3" s="125"/>
    </row>
    <row r="4" spans="1:5">
      <c r="A4" s="32" t="str">
        <f>'1 Д 1 Н'!A4</f>
        <v>"___"______________2023 г</v>
      </c>
      <c r="C4" s="137" t="s">
        <v>109</v>
      </c>
      <c r="D4" s="125"/>
      <c r="E4" s="125"/>
    </row>
    <row r="8" spans="1:5">
      <c r="A8" s="68"/>
      <c r="B8" s="130" t="s">
        <v>21</v>
      </c>
      <c r="C8" s="130"/>
      <c r="D8" s="130"/>
    </row>
    <row r="9" spans="1:5" ht="12" customHeight="1">
      <c r="A9" s="127" t="s">
        <v>38</v>
      </c>
      <c r="B9" s="123" t="s">
        <v>0</v>
      </c>
      <c r="C9" s="123" t="s">
        <v>1</v>
      </c>
      <c r="D9" s="123" t="s">
        <v>2</v>
      </c>
      <c r="E9" s="123" t="s">
        <v>114</v>
      </c>
    </row>
    <row r="10" spans="1:5" ht="15.75" thickBot="1">
      <c r="A10" s="128"/>
      <c r="B10" s="123"/>
      <c r="C10" s="123"/>
      <c r="D10" s="123"/>
      <c r="E10" s="123"/>
    </row>
    <row r="11" spans="1:5">
      <c r="A11" s="39">
        <v>1</v>
      </c>
      <c r="B11" s="73" t="s">
        <v>48</v>
      </c>
      <c r="C11" s="41">
        <v>60</v>
      </c>
      <c r="D11" s="42">
        <f>857*0.06</f>
        <v>51.419999999999995</v>
      </c>
      <c r="E11" s="110">
        <v>10</v>
      </c>
    </row>
    <row r="12" spans="1:5">
      <c r="A12" s="39">
        <v>2</v>
      </c>
      <c r="B12" s="73" t="s">
        <v>49</v>
      </c>
      <c r="C12" s="41">
        <v>150</v>
      </c>
      <c r="D12" s="42">
        <f>208*150/175</f>
        <v>178.28571428571428</v>
      </c>
      <c r="E12" s="21">
        <v>43</v>
      </c>
    </row>
    <row r="13" spans="1:5">
      <c r="A13" s="39">
        <v>3</v>
      </c>
      <c r="B13" s="73" t="s">
        <v>5</v>
      </c>
      <c r="C13" s="43">
        <v>200</v>
      </c>
      <c r="D13" s="42">
        <v>81</v>
      </c>
      <c r="E13" s="21">
        <v>10</v>
      </c>
    </row>
    <row r="14" spans="1:5">
      <c r="A14" s="39">
        <v>4</v>
      </c>
      <c r="B14" s="73" t="s">
        <v>6</v>
      </c>
      <c r="C14" s="41">
        <v>100</v>
      </c>
      <c r="D14" s="42">
        <v>56.4</v>
      </c>
      <c r="E14" s="21">
        <v>10</v>
      </c>
    </row>
    <row r="15" spans="1:5">
      <c r="A15" s="39">
        <v>6</v>
      </c>
      <c r="B15" s="73" t="s">
        <v>7</v>
      </c>
      <c r="C15" s="41">
        <v>40</v>
      </c>
      <c r="D15" s="69">
        <v>94.7</v>
      </c>
      <c r="E15" s="21">
        <v>4</v>
      </c>
    </row>
    <row r="16" spans="1:5">
      <c r="A16" s="39">
        <v>7</v>
      </c>
      <c r="B16" s="73" t="s">
        <v>8</v>
      </c>
      <c r="C16" s="41">
        <v>20</v>
      </c>
      <c r="D16" s="69">
        <v>40.799999999999997</v>
      </c>
      <c r="E16" s="21">
        <v>3</v>
      </c>
    </row>
    <row r="17" spans="1:5">
      <c r="A17" s="44"/>
      <c r="B17" s="84" t="s">
        <v>9</v>
      </c>
      <c r="C17" s="46">
        <v>570</v>
      </c>
      <c r="D17" s="71">
        <f>SUM(D11:D16)</f>
        <v>502.60571428571427</v>
      </c>
      <c r="E17" s="71">
        <f>SUM(E11:E16)</f>
        <v>80</v>
      </c>
    </row>
    <row r="18" spans="1:5">
      <c r="A18" s="38"/>
      <c r="B18" s="80"/>
      <c r="C18" s="85"/>
      <c r="D18" s="66"/>
    </row>
    <row r="19" spans="1:5">
      <c r="A19" s="38"/>
      <c r="B19" s="80"/>
      <c r="C19" s="85"/>
      <c r="D19" s="66"/>
    </row>
    <row r="20" spans="1:5">
      <c r="A20" s="68"/>
      <c r="B20" s="130" t="s">
        <v>23</v>
      </c>
      <c r="C20" s="130"/>
      <c r="D20" s="130"/>
    </row>
    <row r="21" spans="1:5" ht="12" customHeight="1">
      <c r="A21" s="140" t="s">
        <v>38</v>
      </c>
      <c r="B21" s="129" t="s">
        <v>0</v>
      </c>
      <c r="C21" s="123" t="s">
        <v>1</v>
      </c>
      <c r="D21" s="123" t="s">
        <v>2</v>
      </c>
      <c r="E21" s="123" t="s">
        <v>114</v>
      </c>
    </row>
    <row r="22" spans="1:5" ht="12" customHeight="1" thickBot="1">
      <c r="A22" s="141"/>
      <c r="B22" s="129"/>
      <c r="C22" s="123"/>
      <c r="D22" s="123"/>
      <c r="E22" s="123"/>
    </row>
    <row r="23" spans="1:5">
      <c r="A23" s="86">
        <v>1</v>
      </c>
      <c r="B23" s="73" t="s">
        <v>50</v>
      </c>
      <c r="C23" s="41">
        <v>60</v>
      </c>
      <c r="D23" s="42">
        <f>1863*0.06</f>
        <v>111.78</v>
      </c>
      <c r="E23" s="110">
        <v>10</v>
      </c>
    </row>
    <row r="24" spans="1:5">
      <c r="A24" s="39">
        <v>2</v>
      </c>
      <c r="B24" s="73" t="s">
        <v>51</v>
      </c>
      <c r="C24" s="41">
        <v>200</v>
      </c>
      <c r="D24" s="42">
        <f>429*0.2</f>
        <v>85.800000000000011</v>
      </c>
      <c r="E24" s="21">
        <v>20</v>
      </c>
    </row>
    <row r="25" spans="1:5">
      <c r="A25" s="39">
        <v>3</v>
      </c>
      <c r="B25" s="73" t="s">
        <v>52</v>
      </c>
      <c r="C25" s="41">
        <v>150</v>
      </c>
      <c r="D25" s="42">
        <f>1475*0.15</f>
        <v>221.25</v>
      </c>
      <c r="E25" s="21">
        <v>12</v>
      </c>
    </row>
    <row r="26" spans="1:5">
      <c r="A26" s="39">
        <v>4</v>
      </c>
      <c r="B26" s="73" t="s">
        <v>117</v>
      </c>
      <c r="C26" s="41">
        <v>125</v>
      </c>
      <c r="D26" s="42">
        <f>116*125/80</f>
        <v>181.25</v>
      </c>
      <c r="E26" s="21">
        <v>40</v>
      </c>
    </row>
    <row r="27" spans="1:5">
      <c r="A27" s="39">
        <v>5</v>
      </c>
      <c r="B27" s="73" t="s">
        <v>14</v>
      </c>
      <c r="C27" s="41">
        <v>200</v>
      </c>
      <c r="D27" s="42">
        <v>83.4</v>
      </c>
      <c r="E27" s="21">
        <v>10</v>
      </c>
    </row>
    <row r="28" spans="1:5">
      <c r="A28" s="39">
        <v>6</v>
      </c>
      <c r="B28" s="73" t="s">
        <v>7</v>
      </c>
      <c r="C28" s="41">
        <v>50</v>
      </c>
      <c r="D28" s="69">
        <v>118.4</v>
      </c>
      <c r="E28" s="21">
        <v>5</v>
      </c>
    </row>
    <row r="29" spans="1:5">
      <c r="A29" s="39">
        <v>7</v>
      </c>
      <c r="B29" s="73" t="s">
        <v>8</v>
      </c>
      <c r="C29" s="41">
        <v>30</v>
      </c>
      <c r="D29" s="69">
        <v>61.2</v>
      </c>
      <c r="E29" s="21">
        <v>4.5</v>
      </c>
    </row>
    <row r="30" spans="1:5">
      <c r="A30" s="44"/>
      <c r="B30" s="84" t="s">
        <v>9</v>
      </c>
      <c r="C30" s="46">
        <v>815</v>
      </c>
      <c r="D30" s="71">
        <f>SUM(D23:D29)</f>
        <v>863.08</v>
      </c>
      <c r="E30" s="71">
        <f>SUM(E23:E29)</f>
        <v>101.5</v>
      </c>
    </row>
    <row r="31" spans="1:5">
      <c r="A31" s="38"/>
      <c r="B31" s="80"/>
      <c r="C31" s="85"/>
      <c r="D31" s="66"/>
    </row>
    <row r="32" spans="1:5">
      <c r="A32" s="68"/>
      <c r="B32" s="130" t="s">
        <v>25</v>
      </c>
      <c r="C32" s="130"/>
      <c r="D32" s="130"/>
    </row>
    <row r="33" spans="1:5">
      <c r="A33" s="138" t="s">
        <v>38</v>
      </c>
      <c r="B33" s="123" t="s">
        <v>0</v>
      </c>
      <c r="C33" s="123" t="s">
        <v>1</v>
      </c>
      <c r="D33" s="123" t="s">
        <v>2</v>
      </c>
      <c r="E33" s="123" t="s">
        <v>114</v>
      </c>
    </row>
    <row r="34" spans="1:5">
      <c r="A34" s="139"/>
      <c r="B34" s="123"/>
      <c r="C34" s="123"/>
      <c r="D34" s="123"/>
      <c r="E34" s="123"/>
    </row>
    <row r="35" spans="1:5">
      <c r="A35" s="87">
        <v>1</v>
      </c>
      <c r="B35" s="40" t="s">
        <v>53</v>
      </c>
      <c r="C35" s="41">
        <v>200</v>
      </c>
      <c r="D35" s="88">
        <f>1027*0.2</f>
        <v>205.4</v>
      </c>
      <c r="E35" s="101">
        <f>49.72-12</f>
        <v>37.72</v>
      </c>
    </row>
    <row r="36" spans="1:5">
      <c r="A36" s="39">
        <v>2</v>
      </c>
      <c r="B36" s="82" t="s">
        <v>29</v>
      </c>
      <c r="C36" s="54">
        <v>200</v>
      </c>
      <c r="D36" s="70">
        <f>503*0.2</f>
        <v>100.60000000000001</v>
      </c>
      <c r="E36" s="101">
        <v>10</v>
      </c>
    </row>
    <row r="37" spans="1:5">
      <c r="A37" s="39">
        <v>3</v>
      </c>
      <c r="B37" s="73" t="s">
        <v>7</v>
      </c>
      <c r="C37" s="41">
        <v>20</v>
      </c>
      <c r="D37" s="69">
        <v>47.4</v>
      </c>
      <c r="E37" s="101">
        <v>2</v>
      </c>
    </row>
    <row r="38" spans="1:5">
      <c r="A38" s="44"/>
      <c r="B38" s="84" t="s">
        <v>9</v>
      </c>
      <c r="C38" s="79">
        <v>420</v>
      </c>
      <c r="D38" s="71">
        <f>SUM(D35:D37)</f>
        <v>353.4</v>
      </c>
      <c r="E38" s="71">
        <f>SUM(E35:E37)</f>
        <v>49.72</v>
      </c>
    </row>
    <row r="39" spans="1:5" s="47" customFormat="1" ht="21.6" customHeight="1">
      <c r="A39" s="32"/>
      <c r="B39" s="32"/>
      <c r="C39" s="32"/>
      <c r="D39" s="32"/>
    </row>
    <row r="40" spans="1:5">
      <c r="A40" s="53" t="str">
        <f>'1 Д 1 Н'!A38</f>
        <v xml:space="preserve">    Заведующий производством  _______________/  ______________/                              /</v>
      </c>
      <c r="B40" s="49"/>
      <c r="C40" s="63"/>
      <c r="D40" s="64"/>
    </row>
  </sheetData>
  <mergeCells count="22">
    <mergeCell ref="A9:A10"/>
    <mergeCell ref="B9:B10"/>
    <mergeCell ref="C9:C10"/>
    <mergeCell ref="D9:D10"/>
    <mergeCell ref="A33:A34"/>
    <mergeCell ref="B21:B22"/>
    <mergeCell ref="C21:C22"/>
    <mergeCell ref="D21:D22"/>
    <mergeCell ref="A21:A22"/>
    <mergeCell ref="B33:B34"/>
    <mergeCell ref="C33:C34"/>
    <mergeCell ref="D33:D34"/>
    <mergeCell ref="E9:E10"/>
    <mergeCell ref="E21:E22"/>
    <mergeCell ref="E33:E34"/>
    <mergeCell ref="D1:E1"/>
    <mergeCell ref="C2:E2"/>
    <mergeCell ref="C3:E3"/>
    <mergeCell ref="C4:E4"/>
    <mergeCell ref="B20:D20"/>
    <mergeCell ref="B32:D32"/>
    <mergeCell ref="B8:D8"/>
  </mergeCells>
  <pageMargins left="0.70866141732283472" right="0.70866141732283472" top="0.3937007874015748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topLeftCell="A22" workbookViewId="0">
      <selection activeCell="F35" sqref="F35"/>
    </sheetView>
  </sheetViews>
  <sheetFormatPr defaultColWidth="8.85546875" defaultRowHeight="15"/>
  <cols>
    <col min="1" max="1" width="5.7109375" style="32" customWidth="1"/>
    <col min="2" max="2" width="43" style="32" customWidth="1"/>
    <col min="3" max="3" width="16" style="32" customWidth="1"/>
    <col min="4" max="4" width="20.5703125" style="32" customWidth="1"/>
    <col min="5" max="16384" width="8.85546875" style="32"/>
  </cols>
  <sheetData>
    <row r="1" spans="1:5">
      <c r="A1" s="32" t="str">
        <f>'1 Д 1 Н'!A1</f>
        <v>Утверждаю</v>
      </c>
      <c r="D1" s="99" t="str">
        <f>'1 Д 1 Н'!D1</f>
        <v>Согласовано</v>
      </c>
    </row>
    <row r="2" spans="1:5">
      <c r="A2" s="32" t="str">
        <f>'1 Д 1 Н'!A2</f>
        <v>Директор ООО "ВитаЛайн"</v>
      </c>
      <c r="D2" s="99" t="str">
        <f>'1 Д 1 Н'!C2</f>
        <v>Директор МБОУ _____________</v>
      </c>
    </row>
    <row r="3" spans="1:5">
      <c r="A3" s="32" t="str">
        <f>'1 Д 1 Н'!A3</f>
        <v>_____________Н.Н.Клоков</v>
      </c>
      <c r="D3" s="99" t="str">
        <f>'1 Д 1 Н'!C3</f>
        <v>______________/______________/</v>
      </c>
    </row>
    <row r="4" spans="1:5">
      <c r="A4" s="32" t="str">
        <f>'1 Д 1 Н'!A4</f>
        <v>"___"______________2023 г</v>
      </c>
      <c r="D4" s="99" t="s">
        <v>110</v>
      </c>
    </row>
    <row r="8" spans="1:5">
      <c r="A8" s="68"/>
      <c r="B8" s="130" t="s">
        <v>21</v>
      </c>
      <c r="C8" s="130"/>
      <c r="D8" s="130"/>
    </row>
    <row r="9" spans="1:5">
      <c r="A9" s="127" t="s">
        <v>38</v>
      </c>
      <c r="B9" s="123" t="s">
        <v>0</v>
      </c>
      <c r="C9" s="123" t="s">
        <v>1</v>
      </c>
      <c r="D9" s="123" t="s">
        <v>2</v>
      </c>
      <c r="E9" s="123" t="s">
        <v>114</v>
      </c>
    </row>
    <row r="10" spans="1:5" ht="15.75" thickBot="1">
      <c r="A10" s="128"/>
      <c r="B10" s="123"/>
      <c r="C10" s="123"/>
      <c r="D10" s="123"/>
      <c r="E10" s="123"/>
    </row>
    <row r="11" spans="1:5" ht="30">
      <c r="A11" s="39">
        <v>1</v>
      </c>
      <c r="B11" s="73" t="s">
        <v>54</v>
      </c>
      <c r="C11" s="41">
        <v>100</v>
      </c>
      <c r="D11" s="42">
        <f>792*0.1</f>
        <v>79.2</v>
      </c>
      <c r="E11" s="110">
        <v>12</v>
      </c>
    </row>
    <row r="12" spans="1:5">
      <c r="A12" s="39">
        <v>2</v>
      </c>
      <c r="B12" s="73" t="s">
        <v>55</v>
      </c>
      <c r="C12" s="41">
        <v>150</v>
      </c>
      <c r="D12" s="42">
        <f>112*150/58</f>
        <v>289.65517241379308</v>
      </c>
      <c r="E12" s="21">
        <v>41</v>
      </c>
    </row>
    <row r="13" spans="1:5">
      <c r="A13" s="39">
        <v>3</v>
      </c>
      <c r="B13" s="73" t="s">
        <v>56</v>
      </c>
      <c r="C13" s="43" t="s">
        <v>15</v>
      </c>
      <c r="D13" s="69">
        <f>596*0.2</f>
        <v>119.2</v>
      </c>
      <c r="E13" s="21">
        <v>10</v>
      </c>
    </row>
    <row r="14" spans="1:5">
      <c r="A14" s="39">
        <v>4</v>
      </c>
      <c r="B14" s="73" t="s">
        <v>7</v>
      </c>
      <c r="C14" s="41">
        <v>30</v>
      </c>
      <c r="D14" s="69">
        <v>47.4</v>
      </c>
      <c r="E14" s="21">
        <v>3</v>
      </c>
    </row>
    <row r="15" spans="1:5">
      <c r="A15" s="39">
        <v>5</v>
      </c>
      <c r="B15" s="73" t="s">
        <v>8</v>
      </c>
      <c r="C15" s="41">
        <v>20</v>
      </c>
      <c r="D15" s="69">
        <v>40.799999999999997</v>
      </c>
      <c r="E15" s="21">
        <v>3</v>
      </c>
    </row>
    <row r="16" spans="1:5" s="35" customFormat="1" ht="14.25">
      <c r="A16" s="44"/>
      <c r="B16" s="84" t="s">
        <v>9</v>
      </c>
      <c r="C16" s="79">
        <v>500</v>
      </c>
      <c r="D16" s="71">
        <f>SUM(D11:D15)</f>
        <v>576.25517241379305</v>
      </c>
      <c r="E16" s="71">
        <f>SUM(E11:E15)</f>
        <v>69</v>
      </c>
    </row>
    <row r="17" spans="1:5">
      <c r="A17" s="38"/>
      <c r="B17" s="80"/>
      <c r="C17" s="85"/>
      <c r="D17" s="66"/>
    </row>
    <row r="18" spans="1:5">
      <c r="A18" s="38"/>
      <c r="B18" s="80"/>
      <c r="C18" s="85"/>
      <c r="D18" s="66"/>
    </row>
    <row r="19" spans="1:5">
      <c r="A19" s="68"/>
      <c r="B19" s="130" t="s">
        <v>23</v>
      </c>
      <c r="C19" s="130"/>
      <c r="D19" s="130"/>
    </row>
    <row r="20" spans="1:5">
      <c r="A20" s="140" t="s">
        <v>38</v>
      </c>
      <c r="B20" s="129" t="s">
        <v>0</v>
      </c>
      <c r="C20" s="123" t="s">
        <v>1</v>
      </c>
      <c r="D20" s="123" t="s">
        <v>2</v>
      </c>
      <c r="E20" s="123" t="s">
        <v>114</v>
      </c>
    </row>
    <row r="21" spans="1:5" ht="15.75" thickBot="1">
      <c r="A21" s="141"/>
      <c r="B21" s="129"/>
      <c r="C21" s="123"/>
      <c r="D21" s="123"/>
      <c r="E21" s="123"/>
    </row>
    <row r="22" spans="1:5">
      <c r="A22" s="86">
        <v>1</v>
      </c>
      <c r="B22" s="73" t="s">
        <v>57</v>
      </c>
      <c r="C22" s="41">
        <v>200</v>
      </c>
      <c r="D22" s="69">
        <f>320*0.2</f>
        <v>64</v>
      </c>
      <c r="E22" s="112">
        <v>10</v>
      </c>
    </row>
    <row r="23" spans="1:5" ht="30">
      <c r="A23" s="39">
        <v>2</v>
      </c>
      <c r="B23" s="73" t="s">
        <v>58</v>
      </c>
      <c r="C23" s="41">
        <v>80</v>
      </c>
      <c r="D23" s="42">
        <f>1340*0.08</f>
        <v>107.2</v>
      </c>
      <c r="E23" s="113">
        <v>20</v>
      </c>
    </row>
    <row r="24" spans="1:5" ht="30">
      <c r="A24" s="39">
        <v>3</v>
      </c>
      <c r="B24" s="73" t="s">
        <v>59</v>
      </c>
      <c r="C24" s="41">
        <v>180</v>
      </c>
      <c r="D24" s="69">
        <f>189*180/80</f>
        <v>425.25</v>
      </c>
      <c r="E24" s="113">
        <v>42</v>
      </c>
    </row>
    <row r="25" spans="1:5" ht="30">
      <c r="A25" s="39">
        <v>4</v>
      </c>
      <c r="B25" s="73" t="s">
        <v>46</v>
      </c>
      <c r="C25" s="41">
        <v>15</v>
      </c>
      <c r="D25" s="69">
        <f>123.4*15/40</f>
        <v>46.274999999999999</v>
      </c>
      <c r="E25" s="113">
        <f>8*15/20</f>
        <v>6</v>
      </c>
    </row>
    <row r="26" spans="1:5">
      <c r="A26" s="39">
        <v>5</v>
      </c>
      <c r="B26" s="73" t="s">
        <v>44</v>
      </c>
      <c r="C26" s="41">
        <v>180</v>
      </c>
      <c r="D26" s="42">
        <f>100*180/200</f>
        <v>90</v>
      </c>
      <c r="E26" s="113">
        <v>10</v>
      </c>
    </row>
    <row r="27" spans="1:5">
      <c r="A27" s="39">
        <v>6</v>
      </c>
      <c r="B27" s="73" t="s">
        <v>60</v>
      </c>
      <c r="C27" s="41">
        <v>120</v>
      </c>
      <c r="D27" s="42">
        <v>56.4</v>
      </c>
      <c r="E27" s="113">
        <v>12</v>
      </c>
    </row>
    <row r="28" spans="1:5">
      <c r="A28" s="39">
        <v>7</v>
      </c>
      <c r="B28" s="73" t="s">
        <v>7</v>
      </c>
      <c r="C28" s="41">
        <v>40</v>
      </c>
      <c r="D28" s="69">
        <v>94.7</v>
      </c>
      <c r="E28" s="113">
        <v>4</v>
      </c>
    </row>
    <row r="29" spans="1:5">
      <c r="A29" s="44">
        <v>8</v>
      </c>
      <c r="B29" s="73" t="s">
        <v>8</v>
      </c>
      <c r="C29" s="41">
        <v>20</v>
      </c>
      <c r="D29" s="69">
        <v>40.799999999999997</v>
      </c>
      <c r="E29" s="113">
        <v>3</v>
      </c>
    </row>
    <row r="30" spans="1:5" s="35" customFormat="1" ht="14.25">
      <c r="A30" s="52"/>
      <c r="B30" s="45" t="s">
        <v>9</v>
      </c>
      <c r="C30" s="46">
        <v>835</v>
      </c>
      <c r="D30" s="71">
        <f>SUM(D22:D29)</f>
        <v>924.625</v>
      </c>
      <c r="E30" s="71">
        <f>SUM(E22:E29)</f>
        <v>107</v>
      </c>
    </row>
    <row r="31" spans="1:5">
      <c r="A31" s="38"/>
      <c r="B31" s="80"/>
      <c r="C31" s="85"/>
      <c r="D31" s="66"/>
    </row>
    <row r="32" spans="1:5">
      <c r="A32" s="68"/>
      <c r="B32" s="130" t="s">
        <v>25</v>
      </c>
      <c r="C32" s="130"/>
      <c r="D32" s="130"/>
    </row>
    <row r="33" spans="1:5">
      <c r="A33" s="138" t="s">
        <v>38</v>
      </c>
      <c r="B33" s="123" t="s">
        <v>0</v>
      </c>
      <c r="C33" s="123" t="s">
        <v>1</v>
      </c>
      <c r="D33" s="123" t="s">
        <v>2</v>
      </c>
      <c r="E33" s="123" t="s">
        <v>114</v>
      </c>
    </row>
    <row r="34" spans="1:5">
      <c r="A34" s="139"/>
      <c r="B34" s="123"/>
      <c r="C34" s="123"/>
      <c r="D34" s="123"/>
      <c r="E34" s="142"/>
    </row>
    <row r="35" spans="1:5">
      <c r="A35" s="87">
        <v>1</v>
      </c>
      <c r="B35" s="73" t="s">
        <v>118</v>
      </c>
      <c r="C35" s="43">
        <v>90</v>
      </c>
      <c r="D35" s="70">
        <f>113*90/80</f>
        <v>127.125</v>
      </c>
      <c r="E35" s="102">
        <v>20.72</v>
      </c>
    </row>
    <row r="36" spans="1:5">
      <c r="A36" s="39">
        <v>2</v>
      </c>
      <c r="B36" s="73" t="s">
        <v>61</v>
      </c>
      <c r="C36" s="41">
        <v>150</v>
      </c>
      <c r="D36" s="88">
        <f>652*0.15</f>
        <v>97.8</v>
      </c>
      <c r="E36" s="102">
        <v>7</v>
      </c>
    </row>
    <row r="37" spans="1:5" ht="18.75">
      <c r="A37" s="103">
        <v>3</v>
      </c>
      <c r="B37" s="156" t="s">
        <v>120</v>
      </c>
      <c r="C37" s="41">
        <v>100</v>
      </c>
      <c r="D37" s="88">
        <v>56.4</v>
      </c>
      <c r="E37" s="104">
        <v>10</v>
      </c>
    </row>
    <row r="38" spans="1:5">
      <c r="A38" s="39">
        <v>4</v>
      </c>
      <c r="B38" s="73" t="s">
        <v>62</v>
      </c>
      <c r="C38" s="41">
        <v>200</v>
      </c>
      <c r="D38" s="70">
        <f>593*0.2</f>
        <v>118.60000000000001</v>
      </c>
      <c r="E38" s="102">
        <v>10</v>
      </c>
    </row>
    <row r="39" spans="1:5">
      <c r="A39" s="39">
        <v>5</v>
      </c>
      <c r="B39" s="73" t="s">
        <v>7</v>
      </c>
      <c r="C39" s="41">
        <v>20</v>
      </c>
      <c r="D39" s="88">
        <v>47.4</v>
      </c>
      <c r="E39" s="102">
        <v>2</v>
      </c>
    </row>
    <row r="40" spans="1:5" s="35" customFormat="1" ht="14.25">
      <c r="A40" s="44"/>
      <c r="B40" s="84" t="s">
        <v>9</v>
      </c>
      <c r="C40" s="46">
        <v>560</v>
      </c>
      <c r="D40" s="71">
        <f>SUM(D35:D39)</f>
        <v>447.32499999999999</v>
      </c>
      <c r="E40" s="78">
        <f>SUM(E35:E39)</f>
        <v>49.72</v>
      </c>
    </row>
    <row r="41" spans="1:5" s="35" customFormat="1" ht="14.25">
      <c r="A41" s="48"/>
      <c r="B41" s="49"/>
      <c r="C41" s="50"/>
      <c r="D41" s="64"/>
    </row>
    <row r="42" spans="1:5" s="35" customFormat="1" ht="14.25">
      <c r="A42" s="48"/>
      <c r="B42" s="49"/>
      <c r="C42" s="50"/>
      <c r="D42" s="64"/>
    </row>
    <row r="44" spans="1:5">
      <c r="A44" s="53" t="str">
        <f>'1 Д 1 Н'!A38</f>
        <v xml:space="preserve">    Заведующий производством  _______________/  ______________/                              /</v>
      </c>
      <c r="B44" s="49"/>
      <c r="C44" s="63"/>
      <c r="D44" s="64"/>
    </row>
  </sheetData>
  <mergeCells count="18">
    <mergeCell ref="B8:D8"/>
    <mergeCell ref="A9:A10"/>
    <mergeCell ref="B9:B10"/>
    <mergeCell ref="C9:C10"/>
    <mergeCell ref="D9:D10"/>
    <mergeCell ref="E9:E10"/>
    <mergeCell ref="E20:E21"/>
    <mergeCell ref="E33:E34"/>
    <mergeCell ref="A33:A34"/>
    <mergeCell ref="B33:B34"/>
    <mergeCell ref="C33:C34"/>
    <mergeCell ref="D33:D34"/>
    <mergeCell ref="B19:D19"/>
    <mergeCell ref="A20:A21"/>
    <mergeCell ref="B20:B21"/>
    <mergeCell ref="C20:C21"/>
    <mergeCell ref="D20:D21"/>
    <mergeCell ref="B32:D3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opLeftCell="A25" workbookViewId="0">
      <selection activeCell="E35" sqref="E35:E36"/>
    </sheetView>
  </sheetViews>
  <sheetFormatPr defaultColWidth="8.85546875" defaultRowHeight="15"/>
  <cols>
    <col min="1" max="1" width="5.7109375" style="32" customWidth="1"/>
    <col min="2" max="2" width="43" style="32" customWidth="1"/>
    <col min="3" max="3" width="16" style="32" customWidth="1"/>
    <col min="4" max="4" width="20.5703125" style="32" customWidth="1"/>
    <col min="5" max="16384" width="8.85546875" style="32"/>
  </cols>
  <sheetData>
    <row r="1" spans="1:5">
      <c r="A1" s="32" t="str">
        <f>'1 Д 1 Н'!A1</f>
        <v>Утверждаю</v>
      </c>
      <c r="D1" s="99" t="str">
        <f>'5Д 1Н'!D1</f>
        <v>Согласовано</v>
      </c>
    </row>
    <row r="2" spans="1:5">
      <c r="A2" s="32" t="str">
        <f>'1 Д 1 Н'!A2</f>
        <v>Директор ООО "ВитаЛайн"</v>
      </c>
      <c r="D2" s="99" t="str">
        <f>'5Д 1Н'!D2</f>
        <v>Директор МБОУ _____________</v>
      </c>
    </row>
    <row r="3" spans="1:5">
      <c r="A3" s="32" t="str">
        <f>'1 Д 1 Н'!A3</f>
        <v>_____________Н.Н.Клоков</v>
      </c>
      <c r="D3" s="99" t="str">
        <f>'5Д 1Н'!D3</f>
        <v>______________/______________/</v>
      </c>
    </row>
    <row r="4" spans="1:5">
      <c r="A4" s="32" t="str">
        <f>'1 Д 1 Н'!A4</f>
        <v>"___"______________2023 г</v>
      </c>
      <c r="D4" s="99" t="str">
        <f>'5Д 1Н'!D4</f>
        <v>"_____"__________________2023 г.</v>
      </c>
    </row>
    <row r="8" spans="1:5">
      <c r="A8" s="68"/>
      <c r="B8" s="130" t="s">
        <v>21</v>
      </c>
      <c r="C8" s="130"/>
      <c r="D8" s="130"/>
    </row>
    <row r="9" spans="1:5">
      <c r="A9" s="127" t="s">
        <v>38</v>
      </c>
      <c r="B9" s="123" t="s">
        <v>0</v>
      </c>
      <c r="C9" s="123" t="s">
        <v>1</v>
      </c>
      <c r="D9" s="123" t="s">
        <v>2</v>
      </c>
      <c r="E9" s="123" t="s">
        <v>114</v>
      </c>
    </row>
    <row r="10" spans="1:5">
      <c r="A10" s="128"/>
      <c r="B10" s="123"/>
      <c r="C10" s="123"/>
      <c r="D10" s="123"/>
      <c r="E10" s="142"/>
    </row>
    <row r="11" spans="1:5" ht="30">
      <c r="A11" s="39">
        <v>1</v>
      </c>
      <c r="B11" s="73" t="s">
        <v>39</v>
      </c>
      <c r="C11" s="43">
        <v>60</v>
      </c>
      <c r="D11" s="42">
        <f>10*60/100</f>
        <v>6</v>
      </c>
      <c r="E11" s="113">
        <v>10</v>
      </c>
    </row>
    <row r="12" spans="1:5">
      <c r="A12" s="39">
        <v>2</v>
      </c>
      <c r="B12" s="73" t="s">
        <v>113</v>
      </c>
      <c r="C12" s="41">
        <v>150</v>
      </c>
      <c r="D12" s="42">
        <f>915*0.15</f>
        <v>137.25</v>
      </c>
      <c r="E12" s="113">
        <v>20</v>
      </c>
    </row>
    <row r="13" spans="1:5">
      <c r="A13" s="39">
        <v>3</v>
      </c>
      <c r="B13" s="73" t="s">
        <v>64</v>
      </c>
      <c r="C13" s="41">
        <v>90</v>
      </c>
      <c r="D13" s="42">
        <f>159*0.9</f>
        <v>143.1</v>
      </c>
      <c r="E13" s="113">
        <v>37</v>
      </c>
    </row>
    <row r="14" spans="1:5" ht="30">
      <c r="A14" s="39">
        <v>4</v>
      </c>
      <c r="B14" s="73" t="s">
        <v>17</v>
      </c>
      <c r="C14" s="41">
        <v>180</v>
      </c>
      <c r="D14" s="42">
        <v>95.4</v>
      </c>
      <c r="E14" s="113">
        <v>10</v>
      </c>
    </row>
    <row r="15" spans="1:5">
      <c r="A15" s="39">
        <v>6</v>
      </c>
      <c r="B15" s="73" t="s">
        <v>7</v>
      </c>
      <c r="C15" s="41">
        <v>40</v>
      </c>
      <c r="D15" s="69">
        <v>94.7</v>
      </c>
      <c r="E15" s="113">
        <v>4</v>
      </c>
    </row>
    <row r="16" spans="1:5">
      <c r="A16" s="39">
        <v>7</v>
      </c>
      <c r="B16" s="73" t="s">
        <v>8</v>
      </c>
      <c r="C16" s="41">
        <v>20</v>
      </c>
      <c r="D16" s="69">
        <v>40.799999999999997</v>
      </c>
      <c r="E16" s="113">
        <v>3</v>
      </c>
    </row>
    <row r="17" spans="1:7" s="35" customFormat="1" ht="14.25">
      <c r="A17" s="44"/>
      <c r="B17" s="84" t="s">
        <v>9</v>
      </c>
      <c r="C17" s="46">
        <v>540</v>
      </c>
      <c r="D17" s="71">
        <f>SUM(D11:D16)</f>
        <v>517.25</v>
      </c>
      <c r="E17" s="71">
        <f>SUM(E11:E16)</f>
        <v>84</v>
      </c>
    </row>
    <row r="18" spans="1:7">
      <c r="A18" s="38"/>
      <c r="B18" s="80"/>
      <c r="C18" s="85"/>
      <c r="D18" s="66"/>
    </row>
    <row r="19" spans="1:7">
      <c r="A19" s="38"/>
      <c r="B19" s="80"/>
      <c r="C19" s="85"/>
      <c r="D19" s="66"/>
    </row>
    <row r="20" spans="1:7">
      <c r="A20" s="68"/>
      <c r="B20" s="130" t="s">
        <v>23</v>
      </c>
      <c r="C20" s="130"/>
      <c r="D20" s="130"/>
    </row>
    <row r="21" spans="1:7">
      <c r="A21" s="140" t="s">
        <v>38</v>
      </c>
      <c r="B21" s="129" t="s">
        <v>0</v>
      </c>
      <c r="C21" s="123" t="s">
        <v>1</v>
      </c>
      <c r="D21" s="123" t="s">
        <v>2</v>
      </c>
      <c r="E21" s="123" t="s">
        <v>114</v>
      </c>
    </row>
    <row r="22" spans="1:7" ht="15.75" thickBot="1">
      <c r="A22" s="141"/>
      <c r="B22" s="129"/>
      <c r="C22" s="123"/>
      <c r="D22" s="123"/>
      <c r="E22" s="142"/>
    </row>
    <row r="23" spans="1:7">
      <c r="A23" s="86">
        <v>1</v>
      </c>
      <c r="B23" s="73" t="s">
        <v>65</v>
      </c>
      <c r="C23" s="41">
        <v>200</v>
      </c>
      <c r="D23" s="42">
        <f>381*0.2</f>
        <v>76.2</v>
      </c>
      <c r="E23" s="110">
        <v>20</v>
      </c>
    </row>
    <row r="24" spans="1:7">
      <c r="A24" s="39">
        <v>2</v>
      </c>
      <c r="B24" s="73" t="s">
        <v>66</v>
      </c>
      <c r="C24" s="41">
        <v>150</v>
      </c>
      <c r="D24" s="42">
        <f>209*150/125</f>
        <v>250.8</v>
      </c>
      <c r="E24" s="21">
        <v>20</v>
      </c>
    </row>
    <row r="25" spans="1:7">
      <c r="A25" s="39">
        <v>3</v>
      </c>
      <c r="B25" s="73" t="s">
        <v>67</v>
      </c>
      <c r="C25" s="41">
        <v>60</v>
      </c>
      <c r="D25" s="69">
        <v>54</v>
      </c>
      <c r="E25" s="21">
        <v>10</v>
      </c>
    </row>
    <row r="26" spans="1:7">
      <c r="A26" s="39">
        <v>4</v>
      </c>
      <c r="B26" s="73" t="s">
        <v>68</v>
      </c>
      <c r="C26" s="41">
        <v>90</v>
      </c>
      <c r="D26" s="42">
        <f>290*90/100</f>
        <v>261</v>
      </c>
      <c r="E26" s="21">
        <v>36</v>
      </c>
      <c r="G26" s="32">
        <v>1</v>
      </c>
    </row>
    <row r="27" spans="1:7">
      <c r="A27" s="39">
        <v>5</v>
      </c>
      <c r="B27" s="82" t="s">
        <v>69</v>
      </c>
      <c r="C27" s="54">
        <v>200</v>
      </c>
      <c r="D27" s="70">
        <f>503*0.2</f>
        <v>100.60000000000001</v>
      </c>
      <c r="E27" s="111">
        <v>10</v>
      </c>
    </row>
    <row r="28" spans="1:7">
      <c r="A28" s="39">
        <v>6</v>
      </c>
      <c r="B28" s="73" t="s">
        <v>6</v>
      </c>
      <c r="C28" s="41">
        <v>120</v>
      </c>
      <c r="D28" s="42">
        <v>56.4</v>
      </c>
      <c r="E28" s="21">
        <v>12</v>
      </c>
    </row>
    <row r="29" spans="1:7">
      <c r="A29" s="39">
        <v>7</v>
      </c>
      <c r="B29" s="73" t="s">
        <v>35</v>
      </c>
      <c r="C29" s="41">
        <v>200</v>
      </c>
      <c r="D29" s="42">
        <v>52</v>
      </c>
      <c r="E29" s="21">
        <v>25</v>
      </c>
    </row>
    <row r="30" spans="1:7">
      <c r="A30" s="39">
        <v>8</v>
      </c>
      <c r="B30" s="73" t="s">
        <v>7</v>
      </c>
      <c r="C30" s="41">
        <v>30</v>
      </c>
      <c r="D30" s="42">
        <v>71</v>
      </c>
      <c r="E30" s="21">
        <v>3</v>
      </c>
    </row>
    <row r="31" spans="1:7">
      <c r="A31" s="39">
        <v>9</v>
      </c>
      <c r="B31" s="73" t="s">
        <v>8</v>
      </c>
      <c r="C31" s="41">
        <v>20</v>
      </c>
      <c r="D31" s="69">
        <v>40.799999999999997</v>
      </c>
      <c r="E31" s="21">
        <v>3</v>
      </c>
    </row>
    <row r="32" spans="1:7" s="35" customFormat="1" ht="14.25">
      <c r="A32" s="44"/>
      <c r="B32" s="84" t="s">
        <v>9</v>
      </c>
      <c r="C32" s="46">
        <v>1070</v>
      </c>
      <c r="D32" s="71">
        <f>SUM(D23:D31)</f>
        <v>962.8</v>
      </c>
      <c r="E32" s="71">
        <f>SUM(E23:E31)</f>
        <v>139</v>
      </c>
    </row>
    <row r="33" spans="1:5">
      <c r="A33" s="38"/>
      <c r="B33" s="80"/>
      <c r="C33" s="85"/>
      <c r="D33" s="66"/>
    </row>
    <row r="34" spans="1:5">
      <c r="A34" s="68"/>
      <c r="B34" s="143" t="s">
        <v>25</v>
      </c>
      <c r="C34" s="143"/>
      <c r="D34" s="143"/>
    </row>
    <row r="35" spans="1:5">
      <c r="A35" s="138" t="s">
        <v>38</v>
      </c>
      <c r="B35" s="123" t="s">
        <v>0</v>
      </c>
      <c r="C35" s="123" t="s">
        <v>1</v>
      </c>
      <c r="D35" s="123" t="s">
        <v>2</v>
      </c>
      <c r="E35" s="123" t="s">
        <v>114</v>
      </c>
    </row>
    <row r="36" spans="1:5">
      <c r="A36" s="139"/>
      <c r="B36" s="123"/>
      <c r="C36" s="123"/>
      <c r="D36" s="123"/>
      <c r="E36" s="142"/>
    </row>
    <row r="37" spans="1:5">
      <c r="A37" s="87">
        <v>1</v>
      </c>
      <c r="B37" s="73" t="s">
        <v>70</v>
      </c>
      <c r="C37" s="43" t="s">
        <v>71</v>
      </c>
      <c r="D37" s="70">
        <v>187</v>
      </c>
      <c r="E37" s="102">
        <f>49.72-18</f>
        <v>31.72</v>
      </c>
    </row>
    <row r="38" spans="1:5">
      <c r="A38" s="39">
        <v>2</v>
      </c>
      <c r="B38" s="73" t="s">
        <v>72</v>
      </c>
      <c r="C38" s="41">
        <v>200</v>
      </c>
      <c r="D38" s="70">
        <v>62</v>
      </c>
      <c r="E38" s="102">
        <v>10</v>
      </c>
    </row>
    <row r="39" spans="1:5">
      <c r="A39" s="39">
        <v>3</v>
      </c>
      <c r="B39" s="73" t="s">
        <v>73</v>
      </c>
      <c r="C39" s="43" t="s">
        <v>74</v>
      </c>
      <c r="D39" s="70">
        <v>83.4</v>
      </c>
      <c r="E39" s="102">
        <v>8</v>
      </c>
    </row>
    <row r="40" spans="1:5" s="35" customFormat="1" ht="14.25">
      <c r="A40" s="44"/>
      <c r="B40" s="84" t="s">
        <v>9</v>
      </c>
      <c r="C40" s="79" t="s">
        <v>75</v>
      </c>
      <c r="D40" s="114">
        <f>SUM(D37:D39)</f>
        <v>332.4</v>
      </c>
      <c r="E40" s="114">
        <f>SUM(E37:E39)</f>
        <v>49.72</v>
      </c>
    </row>
    <row r="43" spans="1:5">
      <c r="A43" s="53" t="str">
        <f>'1 Д 1 Н'!A38</f>
        <v xml:space="preserve">    Заведующий производством  _______________/  ______________/                              /</v>
      </c>
      <c r="B43" s="49"/>
      <c r="C43" s="63"/>
      <c r="D43" s="64"/>
    </row>
  </sheetData>
  <mergeCells count="18">
    <mergeCell ref="B8:D8"/>
    <mergeCell ref="A9:A10"/>
    <mergeCell ref="B9:B10"/>
    <mergeCell ref="C9:C10"/>
    <mergeCell ref="D9:D10"/>
    <mergeCell ref="E9:E10"/>
    <mergeCell ref="E21:E22"/>
    <mergeCell ref="E35:E36"/>
    <mergeCell ref="A35:A36"/>
    <mergeCell ref="B35:B36"/>
    <mergeCell ref="C35:C36"/>
    <mergeCell ref="D35:D36"/>
    <mergeCell ref="B20:D20"/>
    <mergeCell ref="A21:A22"/>
    <mergeCell ref="B21:B22"/>
    <mergeCell ref="C21:C22"/>
    <mergeCell ref="D21:D22"/>
    <mergeCell ref="B34:D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"/>
  <sheetViews>
    <sheetView topLeftCell="A22" workbookViewId="0">
      <selection activeCell="E34" sqref="E34:E35"/>
    </sheetView>
  </sheetViews>
  <sheetFormatPr defaultColWidth="8.85546875" defaultRowHeight="15"/>
  <cols>
    <col min="1" max="1" width="5.7109375" style="32" customWidth="1"/>
    <col min="2" max="2" width="43" style="32" customWidth="1"/>
    <col min="3" max="3" width="16" style="32" customWidth="1"/>
    <col min="4" max="4" width="20.5703125" style="32" customWidth="1"/>
    <col min="5" max="5" width="11.28515625" style="32" customWidth="1"/>
    <col min="6" max="16384" width="8.85546875" style="32"/>
  </cols>
  <sheetData>
    <row r="1" spans="1:5">
      <c r="A1" s="32" t="str">
        <f>'1 Д 1 Н'!A1</f>
        <v>Утверждаю</v>
      </c>
      <c r="D1" s="99" t="str">
        <f>'5Д 1Н'!D1</f>
        <v>Согласовано</v>
      </c>
    </row>
    <row r="2" spans="1:5">
      <c r="A2" s="32" t="str">
        <f>'1 Д 1 Н'!A2</f>
        <v>Директор ООО "ВитаЛайн"</v>
      </c>
      <c r="D2" s="99" t="str">
        <f>'5Д 1Н'!D2</f>
        <v>Директор МБОУ _____________</v>
      </c>
    </row>
    <row r="3" spans="1:5">
      <c r="A3" s="32" t="str">
        <f>'1 Д 1 Н'!A3</f>
        <v>_____________Н.Н.Клоков</v>
      </c>
      <c r="D3" s="99" t="str">
        <f>'5Д 1Н'!D3</f>
        <v>______________/______________/</v>
      </c>
    </row>
    <row r="4" spans="1:5">
      <c r="A4" s="32" t="str">
        <f>'1 Д 1 Н'!A4</f>
        <v>"___"______________2023 г</v>
      </c>
      <c r="D4" s="99" t="str">
        <f>'5Д 1Н'!D4</f>
        <v>"_____"__________________2023 г.</v>
      </c>
    </row>
    <row r="8" spans="1:5">
      <c r="A8" s="68"/>
      <c r="B8" s="130" t="s">
        <v>21</v>
      </c>
      <c r="C8" s="130"/>
      <c r="D8" s="130"/>
    </row>
    <row r="9" spans="1:5">
      <c r="A9" s="127" t="s">
        <v>38</v>
      </c>
      <c r="B9" s="123" t="s">
        <v>0</v>
      </c>
      <c r="C9" s="123" t="s">
        <v>1</v>
      </c>
      <c r="D9" s="123" t="s">
        <v>2</v>
      </c>
      <c r="E9" s="123" t="s">
        <v>114</v>
      </c>
    </row>
    <row r="10" spans="1:5" ht="15.75" thickBot="1">
      <c r="A10" s="128"/>
      <c r="B10" s="123"/>
      <c r="C10" s="123"/>
      <c r="D10" s="123"/>
      <c r="E10" s="142"/>
    </row>
    <row r="11" spans="1:5">
      <c r="A11" s="39">
        <v>1</v>
      </c>
      <c r="B11" s="73" t="s">
        <v>76</v>
      </c>
      <c r="C11" s="41">
        <v>150</v>
      </c>
      <c r="D11" s="42">
        <f>144*150/80</f>
        <v>270</v>
      </c>
      <c r="E11" s="112">
        <v>40</v>
      </c>
    </row>
    <row r="12" spans="1:5">
      <c r="A12" s="39">
        <v>2</v>
      </c>
      <c r="B12" s="73" t="s">
        <v>4</v>
      </c>
      <c r="C12" s="41">
        <v>20</v>
      </c>
      <c r="D12" s="42">
        <f>108*20/30</f>
        <v>72</v>
      </c>
      <c r="E12" s="113">
        <v>20</v>
      </c>
    </row>
    <row r="13" spans="1:5">
      <c r="A13" s="39">
        <v>3</v>
      </c>
      <c r="B13" s="73" t="s">
        <v>44</v>
      </c>
      <c r="C13" s="41">
        <v>180</v>
      </c>
      <c r="D13" s="42">
        <f>100*180/200</f>
        <v>90</v>
      </c>
      <c r="E13" s="113">
        <v>10</v>
      </c>
    </row>
    <row r="14" spans="1:5">
      <c r="A14" s="39">
        <v>4</v>
      </c>
      <c r="B14" s="73" t="s">
        <v>60</v>
      </c>
      <c r="C14" s="41">
        <v>100</v>
      </c>
      <c r="D14" s="42">
        <f>56.4*100/120</f>
        <v>47</v>
      </c>
      <c r="E14" s="113">
        <v>10</v>
      </c>
    </row>
    <row r="15" spans="1:5">
      <c r="A15" s="39">
        <v>6</v>
      </c>
      <c r="B15" s="73" t="s">
        <v>7</v>
      </c>
      <c r="C15" s="41">
        <v>30</v>
      </c>
      <c r="D15" s="69">
        <f>94.7*30/40</f>
        <v>71.025000000000006</v>
      </c>
      <c r="E15" s="113">
        <v>3</v>
      </c>
    </row>
    <row r="16" spans="1:5">
      <c r="A16" s="39">
        <v>7</v>
      </c>
      <c r="B16" s="73" t="s">
        <v>8</v>
      </c>
      <c r="C16" s="41">
        <v>20</v>
      </c>
      <c r="D16" s="69">
        <v>40.799999999999997</v>
      </c>
      <c r="E16" s="113">
        <v>3</v>
      </c>
    </row>
    <row r="17" spans="1:5" s="35" customFormat="1" ht="14.25">
      <c r="A17" s="44"/>
      <c r="B17" s="84" t="s">
        <v>9</v>
      </c>
      <c r="C17" s="46">
        <v>500</v>
      </c>
      <c r="D17" s="71">
        <f>SUM(D11:D15)</f>
        <v>550.02499999999998</v>
      </c>
      <c r="E17" s="71">
        <f>SUM(E11:E15)</f>
        <v>83</v>
      </c>
    </row>
    <row r="18" spans="1:5">
      <c r="A18" s="38"/>
      <c r="B18" s="80"/>
      <c r="C18" s="85"/>
      <c r="D18" s="66"/>
    </row>
    <row r="19" spans="1:5">
      <c r="A19" s="38"/>
      <c r="B19" s="80"/>
      <c r="C19" s="85"/>
      <c r="D19" s="66"/>
    </row>
    <row r="20" spans="1:5">
      <c r="A20" s="68"/>
      <c r="B20" s="130" t="s">
        <v>23</v>
      </c>
      <c r="C20" s="130"/>
      <c r="D20" s="130"/>
    </row>
    <row r="21" spans="1:5" ht="13.9" customHeight="1">
      <c r="A21" s="140" t="s">
        <v>38</v>
      </c>
      <c r="B21" s="129" t="s">
        <v>0</v>
      </c>
      <c r="C21" s="123" t="s">
        <v>1</v>
      </c>
      <c r="D21" s="123" t="s">
        <v>2</v>
      </c>
      <c r="E21" s="123" t="s">
        <v>114</v>
      </c>
    </row>
    <row r="22" spans="1:5" ht="15.75" thickBot="1">
      <c r="A22" s="141"/>
      <c r="B22" s="129"/>
      <c r="C22" s="123"/>
      <c r="D22" s="123"/>
      <c r="E22" s="142"/>
    </row>
    <row r="23" spans="1:5" ht="30">
      <c r="A23" s="86">
        <v>1</v>
      </c>
      <c r="B23" s="73" t="s">
        <v>77</v>
      </c>
      <c r="C23" s="43">
        <v>60</v>
      </c>
      <c r="D23" s="42">
        <f>591*0.06</f>
        <v>35.46</v>
      </c>
      <c r="E23" s="110">
        <v>10</v>
      </c>
    </row>
    <row r="24" spans="1:5">
      <c r="A24" s="39">
        <v>2</v>
      </c>
      <c r="B24" s="73" t="s">
        <v>78</v>
      </c>
      <c r="C24" s="41">
        <v>200</v>
      </c>
      <c r="D24" s="42">
        <f>511*0.2</f>
        <v>102.2</v>
      </c>
      <c r="E24" s="21">
        <v>20</v>
      </c>
    </row>
    <row r="25" spans="1:5" ht="30">
      <c r="A25" s="39">
        <v>3</v>
      </c>
      <c r="B25" s="73" t="s">
        <v>79</v>
      </c>
      <c r="C25" s="41">
        <v>150</v>
      </c>
      <c r="D25" s="69">
        <f>180*150/125</f>
        <v>216</v>
      </c>
      <c r="E25" s="21">
        <v>20</v>
      </c>
    </row>
    <row r="26" spans="1:5">
      <c r="A26" s="39">
        <v>4</v>
      </c>
      <c r="B26" s="73" t="s">
        <v>111</v>
      </c>
      <c r="C26" s="43">
        <v>125</v>
      </c>
      <c r="D26" s="42">
        <f>128*125/55</f>
        <v>290.90909090909093</v>
      </c>
      <c r="E26" s="21">
        <v>42</v>
      </c>
    </row>
    <row r="27" spans="1:5">
      <c r="A27" s="39">
        <v>5</v>
      </c>
      <c r="B27" s="82" t="s">
        <v>29</v>
      </c>
      <c r="C27" s="54">
        <v>200</v>
      </c>
      <c r="D27" s="70">
        <f>503*0.2</f>
        <v>100.60000000000001</v>
      </c>
      <c r="E27" s="111">
        <v>10</v>
      </c>
    </row>
    <row r="28" spans="1:5">
      <c r="A28" s="39">
        <v>6</v>
      </c>
      <c r="B28" s="73" t="s">
        <v>7</v>
      </c>
      <c r="C28" s="41">
        <v>50</v>
      </c>
      <c r="D28" s="69">
        <v>118.4</v>
      </c>
      <c r="E28" s="21">
        <v>5</v>
      </c>
    </row>
    <row r="29" spans="1:5">
      <c r="A29" s="39">
        <v>7</v>
      </c>
      <c r="B29" s="73" t="s">
        <v>8</v>
      </c>
      <c r="C29" s="41">
        <v>30</v>
      </c>
      <c r="D29" s="69">
        <v>61.2</v>
      </c>
      <c r="E29" s="21">
        <v>4.5</v>
      </c>
    </row>
    <row r="30" spans="1:5" s="35" customFormat="1" ht="14.25">
      <c r="A30" s="44"/>
      <c r="B30" s="84" t="s">
        <v>9</v>
      </c>
      <c r="C30" s="79">
        <v>815</v>
      </c>
      <c r="D30" s="71">
        <f>SUM(D24:D29)</f>
        <v>889.30909090909097</v>
      </c>
      <c r="E30" s="71">
        <f>SUM(E24:E29)</f>
        <v>101.5</v>
      </c>
    </row>
    <row r="31" spans="1:5">
      <c r="A31" s="38"/>
      <c r="B31" s="80"/>
      <c r="C31" s="85"/>
      <c r="D31" s="66"/>
    </row>
    <row r="32" spans="1:5">
      <c r="A32" s="38"/>
      <c r="B32" s="80"/>
      <c r="C32" s="85"/>
      <c r="D32" s="66"/>
    </row>
    <row r="33" spans="1:5">
      <c r="A33" s="68"/>
      <c r="B33" s="130" t="s">
        <v>25</v>
      </c>
      <c r="C33" s="130"/>
      <c r="D33" s="130"/>
    </row>
    <row r="34" spans="1:5">
      <c r="A34" s="138" t="s">
        <v>38</v>
      </c>
      <c r="B34" s="123" t="s">
        <v>0</v>
      </c>
      <c r="C34" s="123" t="s">
        <v>1</v>
      </c>
      <c r="D34" s="145" t="s">
        <v>2</v>
      </c>
      <c r="E34" s="144" t="s">
        <v>114</v>
      </c>
    </row>
    <row r="35" spans="1:5">
      <c r="A35" s="139"/>
      <c r="B35" s="123"/>
      <c r="C35" s="123"/>
      <c r="D35" s="145"/>
      <c r="E35" s="144"/>
    </row>
    <row r="36" spans="1:5">
      <c r="A36" s="87">
        <v>1</v>
      </c>
      <c r="B36" s="73" t="s">
        <v>80</v>
      </c>
      <c r="C36" s="43" t="s">
        <v>81</v>
      </c>
      <c r="D36" s="88">
        <f>154*150/105</f>
        <v>220</v>
      </c>
      <c r="E36" s="115">
        <f>49.72-12</f>
        <v>37.72</v>
      </c>
    </row>
    <row r="37" spans="1:5">
      <c r="A37" s="39">
        <v>2</v>
      </c>
      <c r="B37" s="73" t="s">
        <v>82</v>
      </c>
      <c r="C37" s="43" t="s">
        <v>15</v>
      </c>
      <c r="D37" s="88">
        <v>61.9</v>
      </c>
      <c r="E37" s="115">
        <v>10</v>
      </c>
    </row>
    <row r="38" spans="1:5">
      <c r="A38" s="39">
        <v>3</v>
      </c>
      <c r="B38" s="73" t="s">
        <v>7</v>
      </c>
      <c r="C38" s="41">
        <v>20</v>
      </c>
      <c r="D38" s="88">
        <v>47.4</v>
      </c>
      <c r="E38" s="115">
        <v>2</v>
      </c>
    </row>
    <row r="39" spans="1:5" s="35" customFormat="1" ht="14.25">
      <c r="A39" s="44"/>
      <c r="B39" s="84" t="s">
        <v>9</v>
      </c>
      <c r="C39" s="46">
        <v>370</v>
      </c>
      <c r="D39" s="114">
        <f>SUM(D36:D38)</f>
        <v>329.29999999999995</v>
      </c>
      <c r="E39" s="62">
        <f>SUM(E36:E38)</f>
        <v>49.72</v>
      </c>
    </row>
    <row r="42" spans="1:5">
      <c r="A42" s="53" t="str">
        <f>'1 Д 1 Н'!A38</f>
        <v xml:space="preserve">    Заведующий производством  _______________/  ______________/                              /</v>
      </c>
      <c r="B42" s="49"/>
      <c r="C42" s="63"/>
      <c r="D42" s="64"/>
    </row>
  </sheetData>
  <mergeCells count="18">
    <mergeCell ref="B8:D8"/>
    <mergeCell ref="A9:A10"/>
    <mergeCell ref="B9:B10"/>
    <mergeCell ref="C9:C10"/>
    <mergeCell ref="D9:D10"/>
    <mergeCell ref="E9:E10"/>
    <mergeCell ref="E21:E22"/>
    <mergeCell ref="E34:E35"/>
    <mergeCell ref="A34:A35"/>
    <mergeCell ref="B34:B35"/>
    <mergeCell ref="C34:C35"/>
    <mergeCell ref="D34:D35"/>
    <mergeCell ref="B20:D20"/>
    <mergeCell ref="A21:A22"/>
    <mergeCell ref="B21:B22"/>
    <mergeCell ref="C21:C22"/>
    <mergeCell ref="D21:D22"/>
    <mergeCell ref="B33:D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topLeftCell="A22" workbookViewId="0">
      <selection activeCell="E21" sqref="E21:E22"/>
    </sheetView>
  </sheetViews>
  <sheetFormatPr defaultColWidth="8.85546875" defaultRowHeight="15"/>
  <cols>
    <col min="1" max="1" width="5.7109375" style="32" customWidth="1"/>
    <col min="2" max="2" width="43" style="32" customWidth="1"/>
    <col min="3" max="3" width="16" style="32" customWidth="1"/>
    <col min="4" max="4" width="20.5703125" style="32" customWidth="1"/>
    <col min="5" max="5" width="11.28515625" style="32" customWidth="1"/>
    <col min="6" max="16384" width="8.85546875" style="32"/>
  </cols>
  <sheetData>
    <row r="1" spans="1:5">
      <c r="A1" s="32" t="str">
        <f>'1 Д 1 Н'!A1</f>
        <v>Утверждаю</v>
      </c>
      <c r="D1" s="99" t="str">
        <f>'5Д 1Н'!D1</f>
        <v>Согласовано</v>
      </c>
    </row>
    <row r="2" spans="1:5">
      <c r="A2" s="32" t="str">
        <f>'1 Д 1 Н'!A2</f>
        <v>Директор ООО "ВитаЛайн"</v>
      </c>
      <c r="D2" s="99" t="str">
        <f>'5Д 1Н'!D2</f>
        <v>Директор МБОУ _____________</v>
      </c>
    </row>
    <row r="3" spans="1:5">
      <c r="A3" s="32" t="str">
        <f>'1 Д 1 Н'!A3</f>
        <v>_____________Н.Н.Клоков</v>
      </c>
      <c r="D3" s="99" t="str">
        <f>'5Д 1Н'!D3</f>
        <v>______________/______________/</v>
      </c>
    </row>
    <row r="4" spans="1:5">
      <c r="A4" s="32" t="str">
        <f>'1 Д 1 Н'!A4</f>
        <v>"___"______________2023 г</v>
      </c>
      <c r="D4" s="99" t="str">
        <f>'5Д 1Н'!D4</f>
        <v>"_____"__________________2023 г.</v>
      </c>
    </row>
    <row r="8" spans="1:5">
      <c r="A8" s="27"/>
      <c r="B8" s="148" t="s">
        <v>21</v>
      </c>
      <c r="C8" s="148"/>
      <c r="D8" s="148"/>
    </row>
    <row r="9" spans="1:5">
      <c r="A9" s="149" t="s">
        <v>38</v>
      </c>
      <c r="B9" s="147" t="s">
        <v>0</v>
      </c>
      <c r="C9" s="147" t="s">
        <v>1</v>
      </c>
      <c r="D9" s="147" t="s">
        <v>2</v>
      </c>
      <c r="E9" s="144" t="s">
        <v>114</v>
      </c>
    </row>
    <row r="10" spans="1:5" ht="15.75" thickBot="1">
      <c r="A10" s="150"/>
      <c r="B10" s="147"/>
      <c r="C10" s="147"/>
      <c r="D10" s="147"/>
      <c r="E10" s="144"/>
    </row>
    <row r="11" spans="1:5">
      <c r="A11" s="8">
        <v>1</v>
      </c>
      <c r="B11" s="2" t="s">
        <v>83</v>
      </c>
      <c r="C11" s="3">
        <v>60</v>
      </c>
      <c r="D11" s="14">
        <f>953*0.06</f>
        <v>57.18</v>
      </c>
      <c r="E11" s="112">
        <v>10</v>
      </c>
    </row>
    <row r="12" spans="1:5">
      <c r="A12" s="8">
        <v>2</v>
      </c>
      <c r="B12" s="2" t="s">
        <v>63</v>
      </c>
      <c r="C12" s="3">
        <v>150</v>
      </c>
      <c r="D12" s="14">
        <f>915*0.15</f>
        <v>137.25</v>
      </c>
      <c r="E12" s="113">
        <v>20</v>
      </c>
    </row>
    <row r="13" spans="1:5">
      <c r="A13" s="8">
        <v>3</v>
      </c>
      <c r="B13" s="2" t="s">
        <v>84</v>
      </c>
      <c r="C13" s="3">
        <v>120</v>
      </c>
      <c r="D13" s="31">
        <v>145.9</v>
      </c>
      <c r="E13" s="113">
        <v>40</v>
      </c>
    </row>
    <row r="14" spans="1:5">
      <c r="A14" s="8">
        <v>4</v>
      </c>
      <c r="B14" s="2" t="s">
        <v>85</v>
      </c>
      <c r="C14" s="3">
        <v>10</v>
      </c>
      <c r="D14" s="14">
        <v>66</v>
      </c>
      <c r="E14" s="113">
        <v>5</v>
      </c>
    </row>
    <row r="15" spans="1:5">
      <c r="A15" s="8">
        <v>6</v>
      </c>
      <c r="B15" s="2" t="s">
        <v>62</v>
      </c>
      <c r="C15" s="3">
        <v>200</v>
      </c>
      <c r="D15" s="14">
        <f>593*0.2</f>
        <v>118.60000000000001</v>
      </c>
      <c r="E15" s="113">
        <v>10</v>
      </c>
    </row>
    <row r="16" spans="1:5">
      <c r="A16" s="8">
        <v>7</v>
      </c>
      <c r="B16" s="2" t="s">
        <v>7</v>
      </c>
      <c r="C16" s="3">
        <v>20</v>
      </c>
      <c r="D16" s="31">
        <v>47.4</v>
      </c>
      <c r="E16" s="113">
        <v>2</v>
      </c>
    </row>
    <row r="17" spans="1:5">
      <c r="A17" s="9">
        <v>8</v>
      </c>
      <c r="B17" s="2" t="s">
        <v>8</v>
      </c>
      <c r="C17" s="3">
        <v>20</v>
      </c>
      <c r="D17" s="31">
        <v>40.799999999999997</v>
      </c>
      <c r="E17" s="113">
        <v>3</v>
      </c>
    </row>
    <row r="18" spans="1:5" s="35" customFormat="1" ht="14.25">
      <c r="A18" s="13"/>
      <c r="B18" s="19" t="s">
        <v>9</v>
      </c>
      <c r="C18" s="11">
        <f>SUM(C11:C17)</f>
        <v>580</v>
      </c>
      <c r="D18" s="21">
        <f>SUM(D11:D17)</f>
        <v>613.13</v>
      </c>
      <c r="E18" s="21">
        <f>SUM(E11:E17)</f>
        <v>90</v>
      </c>
    </row>
    <row r="19" spans="1:5">
      <c r="A19" s="1"/>
      <c r="B19" s="29"/>
      <c r="C19" s="30"/>
      <c r="D19" s="25"/>
    </row>
    <row r="20" spans="1:5">
      <c r="A20" s="27"/>
      <c r="B20" s="148" t="s">
        <v>23</v>
      </c>
      <c r="C20" s="148"/>
      <c r="D20" s="148"/>
    </row>
    <row r="21" spans="1:5">
      <c r="A21" s="151" t="s">
        <v>38</v>
      </c>
      <c r="B21" s="152" t="s">
        <v>0</v>
      </c>
      <c r="C21" s="147" t="s">
        <v>1</v>
      </c>
      <c r="D21" s="147" t="s">
        <v>2</v>
      </c>
      <c r="E21" s="144" t="s">
        <v>114</v>
      </c>
    </row>
    <row r="22" spans="1:5" ht="15.75" thickBot="1">
      <c r="A22" s="141"/>
      <c r="B22" s="152"/>
      <c r="C22" s="147"/>
      <c r="D22" s="147"/>
      <c r="E22" s="144"/>
    </row>
    <row r="23" spans="1:5">
      <c r="A23" s="86">
        <v>1</v>
      </c>
      <c r="B23" s="2" t="s">
        <v>86</v>
      </c>
      <c r="C23" s="4">
        <v>60</v>
      </c>
      <c r="D23" s="14">
        <f>1251*0.06</f>
        <v>75.06</v>
      </c>
      <c r="E23" s="112">
        <v>10</v>
      </c>
    </row>
    <row r="24" spans="1:5" ht="25.5">
      <c r="A24" s="8">
        <v>2</v>
      </c>
      <c r="B24" s="2" t="s">
        <v>87</v>
      </c>
      <c r="C24" s="3">
        <v>200</v>
      </c>
      <c r="D24" s="14">
        <f>473*0.2</f>
        <v>94.600000000000009</v>
      </c>
      <c r="E24" s="113">
        <v>20</v>
      </c>
    </row>
    <row r="25" spans="1:5">
      <c r="A25" s="8">
        <v>3</v>
      </c>
      <c r="B25" s="2" t="s">
        <v>88</v>
      </c>
      <c r="C25" s="3">
        <v>150</v>
      </c>
      <c r="D25" s="31">
        <f>884*0.15</f>
        <v>132.6</v>
      </c>
      <c r="E25" s="113">
        <v>15</v>
      </c>
    </row>
    <row r="26" spans="1:5">
      <c r="A26" s="8">
        <v>4</v>
      </c>
      <c r="B26" s="2" t="s">
        <v>89</v>
      </c>
      <c r="C26" s="3">
        <v>90</v>
      </c>
      <c r="D26" s="31">
        <f>166*90/100</f>
        <v>149.4</v>
      </c>
      <c r="E26" s="113">
        <v>35</v>
      </c>
    </row>
    <row r="27" spans="1:5">
      <c r="A27" s="8">
        <v>5</v>
      </c>
      <c r="B27" s="2" t="s">
        <v>72</v>
      </c>
      <c r="C27" s="3">
        <v>200</v>
      </c>
      <c r="D27" s="14">
        <v>62</v>
      </c>
      <c r="E27" s="113">
        <v>10</v>
      </c>
    </row>
    <row r="28" spans="1:5">
      <c r="A28" s="8">
        <v>6</v>
      </c>
      <c r="B28" s="89" t="s">
        <v>35</v>
      </c>
      <c r="C28" s="90">
        <v>200</v>
      </c>
      <c r="D28" s="91">
        <v>52</v>
      </c>
      <c r="E28" s="116">
        <v>25</v>
      </c>
    </row>
    <row r="29" spans="1:5">
      <c r="A29" s="8">
        <v>7</v>
      </c>
      <c r="B29" s="2" t="s">
        <v>6</v>
      </c>
      <c r="C29" s="3">
        <v>120</v>
      </c>
      <c r="D29" s="14">
        <v>56.4</v>
      </c>
      <c r="E29" s="113">
        <v>12</v>
      </c>
    </row>
    <row r="30" spans="1:5">
      <c r="A30" s="8">
        <v>8</v>
      </c>
      <c r="B30" s="2" t="s">
        <v>7</v>
      </c>
      <c r="C30" s="3">
        <v>50</v>
      </c>
      <c r="D30" s="31">
        <v>118.4</v>
      </c>
      <c r="E30" s="113">
        <v>5</v>
      </c>
    </row>
    <row r="31" spans="1:5">
      <c r="A31" s="8">
        <v>9</v>
      </c>
      <c r="B31" s="2" t="s">
        <v>8</v>
      </c>
      <c r="C31" s="3">
        <v>30</v>
      </c>
      <c r="D31" s="31">
        <v>61.2</v>
      </c>
      <c r="E31" s="113">
        <v>4.5</v>
      </c>
    </row>
    <row r="32" spans="1:5" s="35" customFormat="1" ht="14.25">
      <c r="A32" s="9"/>
      <c r="B32" s="19" t="s">
        <v>9</v>
      </c>
      <c r="C32" s="11">
        <v>1100</v>
      </c>
      <c r="D32" s="21">
        <f>SUM(D23:D31)</f>
        <v>801.66</v>
      </c>
      <c r="E32" s="21">
        <f>SUM(E23:E31)</f>
        <v>136.5</v>
      </c>
    </row>
    <row r="33" spans="1:5">
      <c r="A33" s="9"/>
      <c r="B33" s="19"/>
      <c r="C33" s="11"/>
      <c r="D33" s="12"/>
    </row>
    <row r="34" spans="1:5">
      <c r="A34" s="1"/>
      <c r="B34" s="29"/>
      <c r="C34" s="30"/>
      <c r="D34" s="25"/>
    </row>
    <row r="35" spans="1:5">
      <c r="A35" s="27"/>
      <c r="B35" s="148" t="s">
        <v>25</v>
      </c>
      <c r="C35" s="148"/>
      <c r="D35" s="148"/>
    </row>
    <row r="36" spans="1:5">
      <c r="A36" s="146" t="s">
        <v>38</v>
      </c>
      <c r="B36" s="147" t="s">
        <v>0</v>
      </c>
      <c r="C36" s="147" t="s">
        <v>1</v>
      </c>
      <c r="D36" s="147" t="s">
        <v>2</v>
      </c>
      <c r="E36" s="144" t="s">
        <v>114</v>
      </c>
    </row>
    <row r="37" spans="1:5">
      <c r="A37" s="139"/>
      <c r="B37" s="147"/>
      <c r="C37" s="147"/>
      <c r="D37" s="147"/>
      <c r="E37" s="144"/>
    </row>
    <row r="38" spans="1:5">
      <c r="A38" s="87">
        <v>1</v>
      </c>
      <c r="B38" s="2" t="s">
        <v>90</v>
      </c>
      <c r="C38" s="3">
        <v>150</v>
      </c>
      <c r="D38" s="14">
        <v>245.8</v>
      </c>
      <c r="E38" s="105">
        <f>49.72-12</f>
        <v>37.72</v>
      </c>
    </row>
    <row r="39" spans="1:5">
      <c r="A39" s="8">
        <v>2</v>
      </c>
      <c r="B39" s="2" t="s">
        <v>40</v>
      </c>
      <c r="C39" s="4" t="s">
        <v>15</v>
      </c>
      <c r="D39" s="14">
        <v>83.4</v>
      </c>
      <c r="E39" s="105">
        <v>10</v>
      </c>
    </row>
    <row r="40" spans="1:5">
      <c r="A40" s="8">
        <v>3</v>
      </c>
      <c r="B40" s="2" t="s">
        <v>7</v>
      </c>
      <c r="C40" s="3">
        <v>20</v>
      </c>
      <c r="D40" s="31">
        <v>47.4</v>
      </c>
      <c r="E40" s="105">
        <v>2</v>
      </c>
    </row>
    <row r="41" spans="1:5" s="35" customFormat="1" ht="14.25">
      <c r="A41" s="9"/>
      <c r="B41" s="19" t="s">
        <v>9</v>
      </c>
      <c r="C41" s="11">
        <v>370</v>
      </c>
      <c r="D41" s="21">
        <v>410.46</v>
      </c>
      <c r="E41" s="21">
        <v>49.72</v>
      </c>
    </row>
    <row r="43" spans="1:5">
      <c r="A43" s="22" t="str">
        <f>'1 Д 1 Н'!A38</f>
        <v xml:space="preserve">    Заведующий производством  _______________/  ______________/                              /</v>
      </c>
      <c r="B43" s="15"/>
      <c r="C43" s="23"/>
      <c r="D43" s="24"/>
    </row>
  </sheetData>
  <mergeCells count="18">
    <mergeCell ref="B8:D8"/>
    <mergeCell ref="A9:A10"/>
    <mergeCell ref="B9:B10"/>
    <mergeCell ref="C9:C10"/>
    <mergeCell ref="D9:D10"/>
    <mergeCell ref="E9:E10"/>
    <mergeCell ref="E21:E22"/>
    <mergeCell ref="E36:E37"/>
    <mergeCell ref="A36:A37"/>
    <mergeCell ref="B36:B37"/>
    <mergeCell ref="C36:C37"/>
    <mergeCell ref="D36:D37"/>
    <mergeCell ref="B20:D20"/>
    <mergeCell ref="A21:A22"/>
    <mergeCell ref="B21:B22"/>
    <mergeCell ref="C21:C22"/>
    <mergeCell ref="D21:D22"/>
    <mergeCell ref="B35:D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2"/>
  <sheetViews>
    <sheetView topLeftCell="A4" workbookViewId="0">
      <selection activeCell="E34" sqref="E34:E35"/>
    </sheetView>
  </sheetViews>
  <sheetFormatPr defaultColWidth="8.85546875" defaultRowHeight="15"/>
  <cols>
    <col min="1" max="1" width="5.7109375" style="32" customWidth="1"/>
    <col min="2" max="2" width="43" style="32" customWidth="1"/>
    <col min="3" max="3" width="16" style="32" customWidth="1"/>
    <col min="4" max="4" width="20.5703125" style="32" customWidth="1"/>
    <col min="5" max="5" width="10.5703125" style="32" customWidth="1"/>
    <col min="6" max="16384" width="8.85546875" style="32"/>
  </cols>
  <sheetData>
    <row r="1" spans="1:5">
      <c r="A1" s="32" t="str">
        <f>'1 Д 1 Н'!A1</f>
        <v>Утверждаю</v>
      </c>
      <c r="D1" s="99" t="str">
        <f>'5Д 1Н'!D1</f>
        <v>Согласовано</v>
      </c>
    </row>
    <row r="2" spans="1:5">
      <c r="A2" s="32" t="str">
        <f>'1 Д 1 Н'!A2</f>
        <v>Директор ООО "ВитаЛайн"</v>
      </c>
      <c r="D2" s="99" t="str">
        <f>'5Д 1Н'!D2</f>
        <v>Директор МБОУ _____________</v>
      </c>
    </row>
    <row r="3" spans="1:5">
      <c r="A3" s="32" t="str">
        <f>'1 Д 1 Н'!A3</f>
        <v>_____________Н.Н.Клоков</v>
      </c>
      <c r="D3" s="99" t="str">
        <f>'5Д 1Н'!D3</f>
        <v>______________/______________/</v>
      </c>
    </row>
    <row r="4" spans="1:5">
      <c r="A4" s="32" t="str">
        <f>'1 Д 1 Н'!A4</f>
        <v>"___"______________2023 г</v>
      </c>
      <c r="D4" s="99" t="str">
        <f>'5Д 1Н'!D4</f>
        <v>"_____"__________________2023 г.</v>
      </c>
    </row>
    <row r="8" spans="1:5">
      <c r="A8" s="68"/>
      <c r="B8" s="130" t="s">
        <v>21</v>
      </c>
      <c r="C8" s="130"/>
      <c r="D8" s="130"/>
    </row>
    <row r="9" spans="1:5">
      <c r="A9" s="127" t="s">
        <v>38</v>
      </c>
      <c r="B9" s="123" t="s">
        <v>0</v>
      </c>
      <c r="C9" s="123" t="s">
        <v>1</v>
      </c>
      <c r="D9" s="123" t="s">
        <v>2</v>
      </c>
      <c r="E9" s="144" t="s">
        <v>114</v>
      </c>
    </row>
    <row r="10" spans="1:5" ht="15.75" thickBot="1">
      <c r="A10" s="128"/>
      <c r="B10" s="123"/>
      <c r="C10" s="142"/>
      <c r="D10" s="142"/>
      <c r="E10" s="144"/>
    </row>
    <row r="11" spans="1:5" ht="30">
      <c r="A11" s="39">
        <v>1</v>
      </c>
      <c r="B11" s="82" t="s">
        <v>91</v>
      </c>
      <c r="C11" s="92">
        <v>150</v>
      </c>
      <c r="D11" s="55">
        <f>186*150/135</f>
        <v>206.66666666666666</v>
      </c>
      <c r="E11" s="112">
        <v>35</v>
      </c>
    </row>
    <row r="12" spans="1:5">
      <c r="A12" s="39">
        <v>2</v>
      </c>
      <c r="B12" s="82" t="s">
        <v>92</v>
      </c>
      <c r="C12" s="92">
        <v>40</v>
      </c>
      <c r="D12" s="55">
        <v>63</v>
      </c>
      <c r="E12" s="113">
        <v>8</v>
      </c>
    </row>
    <row r="13" spans="1:5">
      <c r="A13" s="39">
        <v>3</v>
      </c>
      <c r="B13" s="82" t="s">
        <v>69</v>
      </c>
      <c r="C13" s="92">
        <v>200</v>
      </c>
      <c r="D13" s="55">
        <f>503*0.2</f>
        <v>100.60000000000001</v>
      </c>
      <c r="E13" s="113">
        <v>10</v>
      </c>
    </row>
    <row r="14" spans="1:5" ht="30">
      <c r="A14" s="39">
        <v>4</v>
      </c>
      <c r="B14" s="82" t="s">
        <v>46</v>
      </c>
      <c r="C14" s="92">
        <v>50</v>
      </c>
      <c r="D14" s="55">
        <v>70.400000000000006</v>
      </c>
      <c r="E14" s="113">
        <f>8*50/20</f>
        <v>20</v>
      </c>
    </row>
    <row r="15" spans="1:5">
      <c r="A15" s="39">
        <v>5</v>
      </c>
      <c r="B15" s="82" t="s">
        <v>7</v>
      </c>
      <c r="C15" s="92">
        <v>40</v>
      </c>
      <c r="D15" s="93">
        <v>94.7</v>
      </c>
      <c r="E15" s="113">
        <v>4</v>
      </c>
    </row>
    <row r="16" spans="1:5">
      <c r="A16" s="39">
        <v>6</v>
      </c>
      <c r="B16" s="82" t="s">
        <v>8</v>
      </c>
      <c r="C16" s="92">
        <v>20</v>
      </c>
      <c r="D16" s="93">
        <v>40.799999999999997</v>
      </c>
      <c r="E16" s="113">
        <v>3</v>
      </c>
    </row>
    <row r="17" spans="1:5" s="35" customFormat="1" ht="14.25">
      <c r="A17" s="44"/>
      <c r="B17" s="94" t="s">
        <v>9</v>
      </c>
      <c r="C17" s="76">
        <v>500</v>
      </c>
      <c r="D17" s="62">
        <f>SUM(D9:D16)</f>
        <v>576.16666666666663</v>
      </c>
      <c r="E17" s="62">
        <f>SUM(E9:E16)</f>
        <v>80</v>
      </c>
    </row>
    <row r="18" spans="1:5">
      <c r="A18" s="38"/>
      <c r="B18" s="80"/>
      <c r="C18" s="85"/>
      <c r="D18" s="66"/>
    </row>
    <row r="19" spans="1:5">
      <c r="A19" s="38"/>
      <c r="B19" s="80"/>
      <c r="C19" s="85"/>
      <c r="D19" s="66"/>
      <c r="E19" s="35"/>
    </row>
    <row r="20" spans="1:5">
      <c r="A20" s="68"/>
      <c r="B20" s="130" t="s">
        <v>23</v>
      </c>
      <c r="C20" s="130"/>
      <c r="D20" s="130"/>
    </row>
    <row r="21" spans="1:5">
      <c r="A21" s="140" t="s">
        <v>38</v>
      </c>
      <c r="B21" s="129" t="s">
        <v>0</v>
      </c>
      <c r="C21" s="123" t="s">
        <v>1</v>
      </c>
      <c r="D21" s="123" t="s">
        <v>2</v>
      </c>
      <c r="E21" s="144" t="s">
        <v>114</v>
      </c>
    </row>
    <row r="22" spans="1:5" ht="15.75" thickBot="1">
      <c r="A22" s="141"/>
      <c r="B22" s="129"/>
      <c r="C22" s="123"/>
      <c r="D22" s="123"/>
      <c r="E22" s="144"/>
    </row>
    <row r="23" spans="1:5" ht="30">
      <c r="A23" s="86">
        <v>1</v>
      </c>
      <c r="B23" s="95" t="s">
        <v>93</v>
      </c>
      <c r="C23" s="96">
        <v>60</v>
      </c>
      <c r="D23" s="97">
        <f>901*0.06</f>
        <v>54.059999999999995</v>
      </c>
      <c r="E23" s="117">
        <v>10</v>
      </c>
    </row>
    <row r="24" spans="1:5">
      <c r="A24" s="39">
        <v>2</v>
      </c>
      <c r="B24" s="73" t="s">
        <v>31</v>
      </c>
      <c r="C24" s="41">
        <v>200</v>
      </c>
      <c r="D24" s="42">
        <f>593*0.2</f>
        <v>118.60000000000001</v>
      </c>
      <c r="E24" s="113">
        <v>20</v>
      </c>
    </row>
    <row r="25" spans="1:5">
      <c r="A25" s="39">
        <v>3</v>
      </c>
      <c r="B25" s="73" t="s">
        <v>94</v>
      </c>
      <c r="C25" s="41">
        <v>150</v>
      </c>
      <c r="D25" s="42">
        <f>1625*0.15</f>
        <v>243.75</v>
      </c>
      <c r="E25" s="113">
        <v>20</v>
      </c>
    </row>
    <row r="26" spans="1:5">
      <c r="A26" s="39">
        <v>4</v>
      </c>
      <c r="B26" s="73" t="s">
        <v>95</v>
      </c>
      <c r="C26" s="41">
        <v>90</v>
      </c>
      <c r="D26" s="69">
        <f>151*90/110</f>
        <v>123.54545454545455</v>
      </c>
      <c r="E26" s="113">
        <v>37</v>
      </c>
    </row>
    <row r="27" spans="1:5" ht="30">
      <c r="A27" s="39">
        <v>5</v>
      </c>
      <c r="B27" s="73" t="s">
        <v>17</v>
      </c>
      <c r="C27" s="41">
        <v>180</v>
      </c>
      <c r="D27" s="42">
        <v>95.4</v>
      </c>
      <c r="E27" s="113">
        <v>10</v>
      </c>
    </row>
    <row r="28" spans="1:5">
      <c r="A28" s="39">
        <v>6</v>
      </c>
      <c r="B28" s="73" t="s">
        <v>7</v>
      </c>
      <c r="C28" s="41">
        <v>50</v>
      </c>
      <c r="D28" s="69">
        <v>118.4</v>
      </c>
      <c r="E28" s="113">
        <v>5</v>
      </c>
    </row>
    <row r="29" spans="1:5">
      <c r="A29" s="39">
        <v>7</v>
      </c>
      <c r="B29" s="73" t="s">
        <v>8</v>
      </c>
      <c r="C29" s="41">
        <v>30</v>
      </c>
      <c r="D29" s="69">
        <v>61.2</v>
      </c>
      <c r="E29" s="113">
        <v>4.5</v>
      </c>
    </row>
    <row r="30" spans="1:5" s="35" customFormat="1" ht="14.25">
      <c r="A30" s="44"/>
      <c r="B30" s="84" t="s">
        <v>9</v>
      </c>
      <c r="C30" s="46">
        <v>760</v>
      </c>
      <c r="D30" s="71">
        <f>SUM(D23:D29)</f>
        <v>814.95545454545447</v>
      </c>
      <c r="E30" s="71">
        <f>SUM(E23:E29)</f>
        <v>106.5</v>
      </c>
    </row>
    <row r="31" spans="1:5">
      <c r="A31" s="38"/>
      <c r="B31" s="80"/>
      <c r="C31" s="85"/>
      <c r="D31" s="66"/>
    </row>
    <row r="32" spans="1:5">
      <c r="A32" s="38"/>
      <c r="B32" s="80"/>
      <c r="C32" s="85"/>
      <c r="D32" s="66"/>
      <c r="E32" s="35"/>
    </row>
    <row r="33" spans="1:5">
      <c r="A33" s="68"/>
      <c r="B33" s="130" t="s">
        <v>25</v>
      </c>
      <c r="C33" s="130"/>
      <c r="D33" s="130"/>
    </row>
    <row r="34" spans="1:5">
      <c r="A34" s="138" t="s">
        <v>38</v>
      </c>
      <c r="B34" s="123" t="s">
        <v>0</v>
      </c>
      <c r="C34" s="123" t="s">
        <v>1</v>
      </c>
      <c r="D34" s="123" t="s">
        <v>2</v>
      </c>
      <c r="E34" s="144" t="s">
        <v>114</v>
      </c>
    </row>
    <row r="35" spans="1:5">
      <c r="A35" s="139"/>
      <c r="B35" s="123"/>
      <c r="C35" s="123"/>
      <c r="D35" s="123"/>
      <c r="E35" s="144"/>
    </row>
    <row r="36" spans="1:5" ht="30">
      <c r="A36" s="87">
        <v>1</v>
      </c>
      <c r="B36" s="73" t="s">
        <v>96</v>
      </c>
      <c r="C36" s="41">
        <v>180</v>
      </c>
      <c r="D36" s="88">
        <v>181.4</v>
      </c>
      <c r="E36" s="119">
        <f>49.72-12</f>
        <v>37.72</v>
      </c>
    </row>
    <row r="37" spans="1:5">
      <c r="A37" s="39">
        <v>2</v>
      </c>
      <c r="B37" s="73" t="s">
        <v>97</v>
      </c>
      <c r="C37" s="41">
        <v>200</v>
      </c>
      <c r="D37" s="70">
        <v>146.6</v>
      </c>
      <c r="E37" s="119">
        <v>10</v>
      </c>
    </row>
    <row r="38" spans="1:5">
      <c r="A38" s="39">
        <v>3</v>
      </c>
      <c r="B38" s="73" t="s">
        <v>7</v>
      </c>
      <c r="C38" s="41">
        <v>20</v>
      </c>
      <c r="D38" s="88">
        <v>47.4</v>
      </c>
      <c r="E38" s="119">
        <v>2</v>
      </c>
    </row>
    <row r="39" spans="1:5" s="35" customFormat="1" ht="14.25">
      <c r="A39" s="44"/>
      <c r="B39" s="84" t="s">
        <v>9</v>
      </c>
      <c r="C39" s="46">
        <v>400</v>
      </c>
      <c r="D39" s="118">
        <v>429.46</v>
      </c>
      <c r="E39" s="119">
        <v>49.72</v>
      </c>
    </row>
    <row r="41" spans="1:5">
      <c r="A41" s="53"/>
      <c r="B41" s="49"/>
      <c r="C41" s="63"/>
      <c r="D41" s="64"/>
      <c r="E41" s="35"/>
    </row>
    <row r="42" spans="1:5">
      <c r="A42" s="32" t="str">
        <f>'1 Д 1 Н'!A38</f>
        <v xml:space="preserve">    Заведующий производством  _______________/  ______________/                              /</v>
      </c>
    </row>
  </sheetData>
  <mergeCells count="18">
    <mergeCell ref="B8:D8"/>
    <mergeCell ref="A9:A10"/>
    <mergeCell ref="B9:B10"/>
    <mergeCell ref="C9:C10"/>
    <mergeCell ref="D9:D10"/>
    <mergeCell ref="E9:E10"/>
    <mergeCell ref="E21:E22"/>
    <mergeCell ref="E34:E35"/>
    <mergeCell ref="A34:A35"/>
    <mergeCell ref="B34:B35"/>
    <mergeCell ref="C34:C35"/>
    <mergeCell ref="D34:D35"/>
    <mergeCell ref="B20:D20"/>
    <mergeCell ref="A21:A22"/>
    <mergeCell ref="B21:B22"/>
    <mergeCell ref="C21:C22"/>
    <mergeCell ref="D21:D22"/>
    <mergeCell ref="B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 1 Н</vt:lpstr>
      <vt:lpstr>2Д 1Н</vt:lpstr>
      <vt:lpstr>3Д 1Н</vt:lpstr>
      <vt:lpstr>4Д 1Н</vt:lpstr>
      <vt:lpstr>5Д 1Н</vt:lpstr>
      <vt:lpstr>1Д 2Н</vt:lpstr>
      <vt:lpstr>2Д 2Н</vt:lpstr>
      <vt:lpstr>3Д 2Н</vt:lpstr>
      <vt:lpstr>4 Д 2Н</vt:lpstr>
      <vt:lpstr>5 Д2Н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User</cp:lastModifiedBy>
  <cp:lastPrinted>2023-01-15T08:49:59Z</cp:lastPrinted>
  <dcterms:created xsi:type="dcterms:W3CDTF">2023-01-04T12:19:43Z</dcterms:created>
  <dcterms:modified xsi:type="dcterms:W3CDTF">2023-02-10T15:23:00Z</dcterms:modified>
</cp:coreProperties>
</file>