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 tabRatio="945"/>
  </bookViews>
  <sheets>
    <sheet name="7-11" sheetId="40" r:id="rId1"/>
    <sheet name="11 и ст." sheetId="41" r:id="rId2"/>
  </sheets>
  <definedNames>
    <definedName name="_xlnm.Print_Area" localSheetId="0">'7-11'!$A$1:$H$216</definedName>
    <definedName name="_xlnm.Print_Area" localSheetId="1">'11 и ст.'!$A$1:$H$209</definedName>
  </definedNames>
  <calcPr calcId="144525"/>
</workbook>
</file>

<file path=xl/sharedStrings.xml><?xml version="1.0" encoding="utf-8"?>
<sst xmlns="http://schemas.openxmlformats.org/spreadsheetml/2006/main" count="673" uniqueCount="209">
  <si>
    <t>Примерное 2-х недельное меню завтраков и обедов</t>
  </si>
  <si>
    <t>для организации горячего питания учащихся 1-4х классов</t>
  </si>
  <si>
    <t>осенне-зимний период 2022-2023гг.</t>
  </si>
  <si>
    <t>наименование блюд</t>
  </si>
  <si>
    <t>масса порции</t>
  </si>
  <si>
    <t>пищевые вещества</t>
  </si>
  <si>
    <t>энергитическая ценность</t>
  </si>
  <si>
    <t>№ Рецептуры</t>
  </si>
  <si>
    <t>б</t>
  </si>
  <si>
    <t>ж</t>
  </si>
  <si>
    <t>у</t>
  </si>
  <si>
    <t>1-я неделя</t>
  </si>
  <si>
    <t>ПОНЕДЕЛЬНИК</t>
  </si>
  <si>
    <t>ЗАВТРАК</t>
  </si>
  <si>
    <t>Суп молочный с макаронными изделиями</t>
  </si>
  <si>
    <t>№160 СРШП 2004г.</t>
  </si>
  <si>
    <t xml:space="preserve">Чай с сахаром </t>
  </si>
  <si>
    <t>№ 685 СРШП 2004г.</t>
  </si>
  <si>
    <t>Сыр твердый порциями</t>
  </si>
  <si>
    <t>№ 97 СРШП 2004г.</t>
  </si>
  <si>
    <t>Масло сливочное</t>
  </si>
  <si>
    <t>№ 96 СРШП 2004г.</t>
  </si>
  <si>
    <t>Хлеб пшеничный</t>
  </si>
  <si>
    <t>технологическая карта табл.</t>
  </si>
  <si>
    <t>Фрукты свежие (сезонные)</t>
  </si>
  <si>
    <t>Итого за прием пищи</t>
  </si>
  <si>
    <t>ОБЕД</t>
  </si>
  <si>
    <t>Щи из  свежей капусты с картофелем</t>
  </si>
  <si>
    <t>250</t>
  </si>
  <si>
    <t>№ 124  СРШП 2004г.</t>
  </si>
  <si>
    <t>Котлеты (биточки) рыбные</t>
  </si>
  <si>
    <t>№388 СРШП 2004г.</t>
  </si>
  <si>
    <t>Рис отварной</t>
  </si>
  <si>
    <t>№ 511 СРШП 2004г.</t>
  </si>
  <si>
    <t>Икра кабачковая</t>
  </si>
  <si>
    <t>№ 11 СРШП 2004г.</t>
  </si>
  <si>
    <t>Хлеб пшеничный; хлеб ржаной</t>
  </si>
  <si>
    <t>50/50</t>
  </si>
  <si>
    <t>Компот из свежих фруктов</t>
  </si>
  <si>
    <t>№631 СРШП 2004г.</t>
  </si>
  <si>
    <t>ИТОГО В ДЕНЬ</t>
  </si>
  <si>
    <t>ВТОРНИК</t>
  </si>
  <si>
    <t>Омлет натуральный запеченый с сыром</t>
  </si>
  <si>
    <t>№ 342 СРШП 2004г.</t>
  </si>
  <si>
    <t>Горошек зеленый консервированный</t>
  </si>
  <si>
    <t>№22 СРШП под ред. В.Р. Кучмы 2016г.</t>
  </si>
  <si>
    <t>Какао с молоком</t>
  </si>
  <si>
    <t>№ 693 СРШП 2004г.</t>
  </si>
  <si>
    <t>Суп гороховый с курицей</t>
  </si>
  <si>
    <t>№ 139 СРШП 2004г.</t>
  </si>
  <si>
    <t>Куры тушёные в соусе</t>
  </si>
  <si>
    <t>№ 488 СРШП 2004</t>
  </si>
  <si>
    <t>Каша пшеничная</t>
  </si>
  <si>
    <t>№ 297 СРШП 2004</t>
  </si>
  <si>
    <t>Овощи сезонные в ассортименте</t>
  </si>
  <si>
    <t>№101 СРШП 2004г.</t>
  </si>
  <si>
    <t>Компот из смеси  сухофруктов</t>
  </si>
  <si>
    <t>№ 639 СРШП 2004</t>
  </si>
  <si>
    <t>СРЕДА</t>
  </si>
  <si>
    <t>Шницель рубленый мясной</t>
  </si>
  <si>
    <t>№450 СРШП 2004г.</t>
  </si>
  <si>
    <t>Соус красный основной</t>
  </si>
  <si>
    <t>№ 587 СРШП 2004г.</t>
  </si>
  <si>
    <t>Пюре картофельное</t>
  </si>
  <si>
    <t>№ 520 СРШП 2004г.</t>
  </si>
  <si>
    <t>№ 101 СРШП 2004г.</t>
  </si>
  <si>
    <t>Кондитерское изделие, обогощённое витамино-минеральным премиксом</t>
  </si>
  <si>
    <t>1шт</t>
  </si>
  <si>
    <t>Чай с сахаром, лимоном</t>
  </si>
  <si>
    <t>№386 СРШП 2004г.</t>
  </si>
  <si>
    <t>Суп крестьянский с курицей</t>
  </si>
  <si>
    <t>№ 134 СРШП 2004г.</t>
  </si>
  <si>
    <t>Котлеты по хлыновски</t>
  </si>
  <si>
    <t>№ 498 СРШП 2004г.</t>
  </si>
  <si>
    <t>Макаронные отварные с маслом</t>
  </si>
  <si>
    <t>№ 332 СРШП 2004г.</t>
  </si>
  <si>
    <t>25/25</t>
  </si>
  <si>
    <t>Кисель фруктовый</t>
  </si>
  <si>
    <t>№642 СРШП 2004</t>
  </si>
  <si>
    <t>ЧЕТВЕРГ</t>
  </si>
  <si>
    <t>Запеканка морковная с творогом</t>
  </si>
  <si>
    <t>№238 СРШП под ред. В.Р. Кучмы 2016г.</t>
  </si>
  <si>
    <t>Соус сметанный</t>
  </si>
  <si>
    <t>№ 600 СРШП 2004</t>
  </si>
  <si>
    <t>Кофейный напиток с молоком</t>
  </si>
  <si>
    <t>№ 692 СРШП 2004г.</t>
  </si>
  <si>
    <t>Фрукты сезонные</t>
  </si>
  <si>
    <t>Суп картофельный с рисом</t>
  </si>
  <si>
    <t>№ 138 СРШП 2004г.</t>
  </si>
  <si>
    <t>Жаркое по-домашнему</t>
  </si>
  <si>
    <t>№ 436 СРШП 2004г.</t>
  </si>
  <si>
    <t>Салат из квашеной капусты</t>
  </si>
  <si>
    <t>№ 45 СРШП 2004г.</t>
  </si>
  <si>
    <t>Компот из смеси сухофруктов</t>
  </si>
  <si>
    <t>№ 639 СРШП 2004г.</t>
  </si>
  <si>
    <t>ПЯТНИЦА</t>
  </si>
  <si>
    <t xml:space="preserve">Гуляш </t>
  </si>
  <si>
    <t>№ 437 СРШП 2004г.</t>
  </si>
  <si>
    <t>Каша гречневая рассыпчатая</t>
  </si>
  <si>
    <t>№ 297 СРШП 2004г.</t>
  </si>
  <si>
    <t>№ 386 СРШП 2004г.</t>
  </si>
  <si>
    <t xml:space="preserve">Булочка </t>
  </si>
  <si>
    <t>№ 779 СРШП 2004г.</t>
  </si>
  <si>
    <t>Борщ с капустой и картофелем</t>
  </si>
  <si>
    <t>№ 110 СРШП 2004г.</t>
  </si>
  <si>
    <t>Рыба тушеная в томате с овощами</t>
  </si>
  <si>
    <t>№ 374 СРШП 2004г.</t>
  </si>
  <si>
    <t>№ 511 СРШП 2004</t>
  </si>
  <si>
    <t>2-я неделя</t>
  </si>
  <si>
    <t>№38 СРШП под ред. В.Р. Кучмы 2016г.</t>
  </si>
  <si>
    <t>Тефтели рыбные</t>
  </si>
  <si>
    <t>№ 394 СРШП 2004г.</t>
  </si>
  <si>
    <t>Капуста тушёная</t>
  </si>
  <si>
    <t>Суп картофельный с макаронами изделиями на к/б</t>
  </si>
  <si>
    <t>№ 140 СРШП 2004г.</t>
  </si>
  <si>
    <t>Плов из птицы</t>
  </si>
  <si>
    <t>№ 492 СРШП 2004г.</t>
  </si>
  <si>
    <t>№639 СРШП 2004г.</t>
  </si>
  <si>
    <t>№600 СРШП 2004г.</t>
  </si>
  <si>
    <t>Рассольник ленинградский</t>
  </si>
  <si>
    <t>№ 132 СРШП 2004</t>
  </si>
  <si>
    <t>Гуляш из отварного мяса</t>
  </si>
  <si>
    <t>№ 437 СРШП 2004</t>
  </si>
  <si>
    <t>№ 631 СРШП 2004</t>
  </si>
  <si>
    <t>Гуляш из печени</t>
  </si>
  <si>
    <t>№162 СРШП под ред. В.Р. Кучмы 2016г.</t>
  </si>
  <si>
    <t>Макароны отварные</t>
  </si>
  <si>
    <t>№692 СРШП 2004г.</t>
  </si>
  <si>
    <t>5</t>
  </si>
  <si>
    <t xml:space="preserve">Суп гороховый картофельный </t>
  </si>
  <si>
    <t>№ 139 СРШП 2004</t>
  </si>
  <si>
    <t>Биточки рыбные</t>
  </si>
  <si>
    <t>№ 388 СРШП 2004</t>
  </si>
  <si>
    <t>Картофель отварной</t>
  </si>
  <si>
    <t>№ 203 СРШП 2004г.</t>
  </si>
  <si>
    <t>850</t>
  </si>
  <si>
    <t xml:space="preserve">Тефтели </t>
  </si>
  <si>
    <t>№462 СРШП 2004г.</t>
  </si>
  <si>
    <t>Борщ с капустой и картофелем на м/б</t>
  </si>
  <si>
    <t>Рагу из филе кур</t>
  </si>
  <si>
    <t>№ 489 СРШП 2004г.</t>
  </si>
  <si>
    <t>№640 СРШП 2004</t>
  </si>
  <si>
    <t>Каша "Дружба" с маслом, сахаром</t>
  </si>
  <si>
    <t>№192 СРШП под ред. В.Р. Кучмы 2016г.</t>
  </si>
  <si>
    <t>Чай с сахаром</t>
  </si>
  <si>
    <t>№685 СРШП 2004г.</t>
  </si>
  <si>
    <t>№96 СРШП 2004г.</t>
  </si>
  <si>
    <t>№97 СРШП 2004г.</t>
  </si>
  <si>
    <t>Фрукты свежие сезонные</t>
  </si>
  <si>
    <t>Суп крестьянский с крупой на к/б</t>
  </si>
  <si>
    <t>Тефтели из птицы с рисом, с соусом</t>
  </si>
  <si>
    <t>№ 465 СРШП 2004г.</t>
  </si>
  <si>
    <t>Каша пшенная</t>
  </si>
  <si>
    <t>№11 СРШП под ред. В.Р. Кучмы 2016г.</t>
  </si>
  <si>
    <t>№639 СРШП 2004</t>
  </si>
  <si>
    <t>Итого за 10ДНЕЙ</t>
  </si>
  <si>
    <t>1.Сборник технологических нормативов под редакцией В.Т.Лапшиной,2004г.Хлебпродинформ.</t>
  </si>
  <si>
    <t>2.Сборник технологических документов под редакцией Л.Е.Галунова, СРШП 2004г..Т.Лабзина, 2008г.Санкт-Петербург</t>
  </si>
  <si>
    <t>3.Сборник рецептур СРШП 2004г.учных кондитерских булочных изделий для ПОП 1986г. СРШП 2004г.осква</t>
  </si>
  <si>
    <t>4.Диетическое питание справочник под ред.В.А.Доценко, Е.В.Литвинова, Ю.Н.зубцова,2002 г.Москва</t>
  </si>
  <si>
    <t>5.Химический состав пищевых продуктов под редакцией И.М.Скурихина, В.А.Шатерникова,1984г.Москва</t>
  </si>
  <si>
    <t>6.Таблицы химического состава и калорийности российских продуктов питания под ред.И.М.скурихина, В.А.Тутельян, 2008г.Москва</t>
  </si>
  <si>
    <t>7</t>
  </si>
  <si>
    <t>Утверждаю:</t>
  </si>
  <si>
    <t>Организатор питания ИП Комарова А.А.</t>
  </si>
  <si>
    <t>_________________________________</t>
  </si>
  <si>
    <t>"____"_____________  2021г.</t>
  </si>
  <si>
    <t xml:space="preserve">Примерное 2-х недельное меню завтраков и обедов </t>
  </si>
  <si>
    <t>для организации горячего питания учащихся</t>
  </si>
  <si>
    <t>осенне-зимний период 2021-2022г.</t>
  </si>
  <si>
    <t>с 12 лет и старше</t>
  </si>
  <si>
    <t>Сборник</t>
  </si>
  <si>
    <t>Щи из капусты свежей с картофелем</t>
  </si>
  <si>
    <t>№ 124 СРШП 2004г.</t>
  </si>
  <si>
    <t>Суп картофельный с горохом, с курицей</t>
  </si>
  <si>
    <t>250/25</t>
  </si>
  <si>
    <t>Куры тушенные в соусе</t>
  </si>
  <si>
    <t>№488 СРШП 2004г.</t>
  </si>
  <si>
    <t>Соленья в ассортименте</t>
  </si>
  <si>
    <t>Кондитерские изделия</t>
  </si>
  <si>
    <t>40/1шт</t>
  </si>
  <si>
    <t>2</t>
  </si>
  <si>
    <t>Макаронные изделия, отварные с маслом</t>
  </si>
  <si>
    <t>Овощи свежие или соленые порционные</t>
  </si>
  <si>
    <t>Кисель из яблок</t>
  </si>
  <si>
    <t>Фрукты свежие</t>
  </si>
  <si>
    <t>3</t>
  </si>
  <si>
    <t>Гуляш из говядины</t>
  </si>
  <si>
    <t xml:space="preserve">Огурцы консервированные </t>
  </si>
  <si>
    <t>Булочка молочная</t>
  </si>
  <si>
    <t>Рис</t>
  </si>
  <si>
    <t>Помидоры соленые</t>
  </si>
  <si>
    <t>Капуста тушеная</t>
  </si>
  <si>
    <t>Кексы, обогащенные витаминно-минеральным премиксом</t>
  </si>
  <si>
    <t>Суп картофельный с макаронами на курином бульоне</t>
  </si>
  <si>
    <t>4</t>
  </si>
  <si>
    <t>Яблоки свежие</t>
  </si>
  <si>
    <t>Гуляш с соусом</t>
  </si>
  <si>
    <t xml:space="preserve">Огурцы соленые </t>
  </si>
  <si>
    <t>Запеканка картофельная с печенью</t>
  </si>
  <si>
    <t>Соус белый</t>
  </si>
  <si>
    <t>№582 СРШП 2004г.</t>
  </si>
  <si>
    <t>Суп картофельный с бобовыми</t>
  </si>
  <si>
    <t>Тефтели (2 вариант)</t>
  </si>
  <si>
    <t>6</t>
  </si>
  <si>
    <t>Рагу из курицы</t>
  </si>
  <si>
    <t>Кисель из плодов или ягод свежих</t>
  </si>
  <si>
    <t>Суп крестьянский с крупой</t>
  </si>
  <si>
    <t>Тефтели из печени с рисом, с соусом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</si>
</sst>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_-;\-* #\.##0_-;_-* &quot;-&quot;_-;_-@_-"/>
    <numFmt numFmtId="178" formatCode="_-* #\.##0.00_-;\-* #\.##0.00_-;_-* &quot;-&quot;??_-;_-@_-"/>
    <numFmt numFmtId="179" formatCode="_-* #\.##0.00\ &quot;₽&quot;_-;\-* #\.##0.00\ &quot;₽&quot;_-;_-* \-??\ &quot;₽&quot;_-;_-@_-"/>
    <numFmt numFmtId="180" formatCode="0.0"/>
  </numFmts>
  <fonts count="34">
    <font>
      <sz val="11"/>
      <color theme="1"/>
      <name val="Calibri"/>
      <charset val="204"/>
      <scheme val="minor"/>
    </font>
    <font>
      <sz val="9"/>
      <color theme="1"/>
      <name val="Calibri"/>
      <charset val="204"/>
      <scheme val="minor"/>
    </font>
    <font>
      <sz val="1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b/>
      <sz val="11"/>
      <name val="Calibri"/>
      <charset val="204"/>
      <scheme val="minor"/>
    </font>
    <font>
      <u/>
      <sz val="11"/>
      <name val="Calibri"/>
      <charset val="204"/>
      <scheme val="minor"/>
    </font>
    <font>
      <u/>
      <sz val="11"/>
      <color theme="1"/>
      <name val="Calibri"/>
      <charset val="204"/>
      <scheme val="minor"/>
    </font>
    <font>
      <b/>
      <sz val="14"/>
      <color theme="1"/>
      <name val="Calibri"/>
      <charset val="204"/>
      <scheme val="minor"/>
    </font>
    <font>
      <b/>
      <sz val="9"/>
      <color theme="1"/>
      <name val="Calibri"/>
      <charset val="204"/>
      <scheme val="minor"/>
    </font>
    <font>
      <b/>
      <i/>
      <sz val="11"/>
      <color theme="1"/>
      <name val="Calibri"/>
      <charset val="204"/>
      <scheme val="minor"/>
    </font>
    <font>
      <b/>
      <i/>
      <sz val="14"/>
      <color theme="1"/>
      <name val="Calibri"/>
      <charset val="204"/>
      <scheme val="minor"/>
    </font>
    <font>
      <b/>
      <sz val="14"/>
      <name val="Calibri"/>
      <charset val="204"/>
      <scheme val="minor"/>
    </font>
    <font>
      <sz val="9"/>
      <name val="Calibri"/>
      <charset val="204"/>
      <scheme val="minor"/>
    </font>
    <font>
      <sz val="14"/>
      <color theme="1"/>
      <name val="Calibri"/>
      <charset val="204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6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6" fillId="9" borderId="0" applyNumberFormat="0" applyBorder="0" applyAlignment="0" applyProtection="0">
      <alignment vertical="center"/>
    </xf>
    <xf numFmtId="176" fontId="17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179" fontId="17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0" borderId="57" applyNumberFormat="0" applyFill="0" applyAlignment="0" applyProtection="0">
      <alignment vertical="center"/>
    </xf>
    <xf numFmtId="0" fontId="23" fillId="18" borderId="5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7" borderId="5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56" applyNumberFormat="0" applyFill="0" applyAlignment="0" applyProtection="0">
      <alignment vertical="center"/>
    </xf>
    <xf numFmtId="0" fontId="19" fillId="0" borderId="56" applyNumberFormat="0" applyFill="0" applyAlignment="0" applyProtection="0">
      <alignment vertical="center"/>
    </xf>
    <xf numFmtId="0" fontId="28" fillId="0" borderId="5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1" borderId="60" applyNumberFormat="0" applyAlignment="0" applyProtection="0">
      <alignment vertical="center"/>
    </xf>
    <xf numFmtId="0" fontId="30" fillId="22" borderId="61" applyNumberFormat="0" applyAlignment="0" applyProtection="0">
      <alignment vertical="center"/>
    </xf>
    <xf numFmtId="0" fontId="32" fillId="18" borderId="60" applyNumberFormat="0" applyAlignment="0" applyProtection="0">
      <alignment vertical="center"/>
    </xf>
    <xf numFmtId="0" fontId="31" fillId="0" borderId="62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</cellStyleXfs>
  <cellXfs count="334">
    <xf numFmtId="0" fontId="0" fillId="0" borderId="0" xfId="0"/>
    <xf numFmtId="0" fontId="0" fillId="0" borderId="0" xfId="0" applyFont="1" applyFill="1"/>
    <xf numFmtId="49" fontId="1" fillId="0" borderId="0" xfId="0" applyNumberFormat="1" applyFont="1" applyFill="1"/>
    <xf numFmtId="49" fontId="0" fillId="0" borderId="0" xfId="0" applyNumberFormat="1" applyFill="1"/>
    <xf numFmtId="49" fontId="0" fillId="0" borderId="0" xfId="0" applyNumberFormat="1" applyFill="1" applyAlignment="1">
      <alignment horizontal="right" wrapText="1"/>
    </xf>
    <xf numFmtId="2" fontId="2" fillId="0" borderId="0" xfId="0" applyNumberFormat="1" applyFont="1" applyFill="1"/>
    <xf numFmtId="2" fontId="0" fillId="0" borderId="0" xfId="0" applyNumberFormat="1" applyFill="1"/>
    <xf numFmtId="0" fontId="0" fillId="0" borderId="0" xfId="0" applyNumberFormat="1" applyFill="1"/>
    <xf numFmtId="49" fontId="0" fillId="0" borderId="0" xfId="0" applyNumberFormat="1" applyFill="1" applyAlignment="1">
      <alignment horizontal="right"/>
    </xf>
    <xf numFmtId="49" fontId="3" fillId="0" borderId="0" xfId="0" applyNumberFormat="1" applyFont="1" applyFill="1"/>
    <xf numFmtId="49" fontId="0" fillId="0" borderId="0" xfId="0" applyNumberFormat="1" applyFont="1" applyFill="1" applyAlignment="1"/>
    <xf numFmtId="49" fontId="0" fillId="0" borderId="0" xfId="0" applyNumberFormat="1" applyFill="1" applyAlignment="1"/>
    <xf numFmtId="2" fontId="4" fillId="0" borderId="0" xfId="0" applyNumberFormat="1" applyFont="1" applyFill="1"/>
    <xf numFmtId="0" fontId="3" fillId="0" borderId="0" xfId="0" applyNumberFormat="1" applyFont="1" applyFill="1" applyAlignment="1">
      <alignment horizontal="left"/>
    </xf>
    <xf numFmtId="49" fontId="0" fillId="0" borderId="0" xfId="0" applyNumberFormat="1" applyFont="1" applyFill="1" applyAlignment="1">
      <alignment horizontal="left"/>
    </xf>
    <xf numFmtId="2" fontId="2" fillId="0" borderId="0" xfId="0" applyNumberFormat="1" applyFont="1" applyFill="1" applyAlignment="1"/>
    <xf numFmtId="0" fontId="0" fillId="0" borderId="0" xfId="0" applyNumberFormat="1" applyFill="1" applyAlignment="1">
      <alignment horizontal="left"/>
    </xf>
    <xf numFmtId="49" fontId="0" fillId="0" borderId="0" xfId="0" applyNumberFormat="1" applyFont="1" applyFill="1"/>
    <xf numFmtId="2" fontId="5" fillId="0" borderId="0" xfId="0" applyNumberFormat="1" applyFont="1" applyFill="1" applyAlignment="1"/>
    <xf numFmtId="49" fontId="6" fillId="0" borderId="0" xfId="0" applyNumberFormat="1" applyFont="1" applyFill="1" applyAlignment="1">
      <alignment horizontal="left"/>
    </xf>
    <xf numFmtId="2" fontId="6" fillId="0" borderId="0" xfId="0" applyNumberFormat="1" applyFont="1" applyFill="1" applyAlignment="1"/>
    <xf numFmtId="49" fontId="7" fillId="0" borderId="0" xfId="0" applyNumberFormat="1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0" fillId="0" borderId="1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vertical="center"/>
    </xf>
    <xf numFmtId="49" fontId="0" fillId="0" borderId="6" xfId="0" applyNumberFormat="1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 vertical="center" wrapText="1"/>
    </xf>
    <xf numFmtId="49" fontId="0" fillId="0" borderId="11" xfId="0" applyNumberFormat="1" applyFill="1" applyBorder="1" applyAlignment="1">
      <alignment horizontal="right"/>
    </xf>
    <xf numFmtId="49" fontId="9" fillId="0" borderId="12" xfId="0" applyNumberFormat="1" applyFont="1" applyFill="1" applyBorder="1"/>
    <xf numFmtId="49" fontId="0" fillId="0" borderId="13" xfId="0" applyNumberFormat="1" applyFill="1" applyBorder="1"/>
    <xf numFmtId="49" fontId="0" fillId="0" borderId="13" xfId="0" applyNumberFormat="1" applyFill="1" applyBorder="1" applyAlignment="1">
      <alignment horizontal="right"/>
    </xf>
    <xf numFmtId="2" fontId="2" fillId="0" borderId="13" xfId="0" applyNumberFormat="1" applyFont="1" applyFill="1" applyBorder="1"/>
    <xf numFmtId="0" fontId="0" fillId="0" borderId="14" xfId="0" applyNumberFormat="1" applyFill="1" applyBorder="1"/>
    <xf numFmtId="49" fontId="0" fillId="0" borderId="15" xfId="0" applyNumberFormat="1" applyFill="1" applyBorder="1"/>
    <xf numFmtId="49" fontId="10" fillId="0" borderId="0" xfId="0" applyNumberFormat="1" applyFont="1" applyFill="1" applyBorder="1" applyAlignment="1">
      <alignment horizontal="center"/>
    </xf>
    <xf numFmtId="49" fontId="10" fillId="0" borderId="15" xfId="0" applyNumberFormat="1" applyFont="1" applyFill="1" applyBorder="1" applyAlignment="1">
      <alignment horizontal="left"/>
    </xf>
    <xf numFmtId="49" fontId="10" fillId="0" borderId="0" xfId="0" applyNumberFormat="1" applyFont="1" applyFill="1" applyBorder="1" applyAlignment="1">
      <alignment horizontal="left"/>
    </xf>
    <xf numFmtId="49" fontId="1" fillId="0" borderId="16" xfId="0" applyNumberFormat="1" applyFont="1" applyFill="1" applyBorder="1" applyAlignment="1">
      <alignment vertical="center"/>
    </xf>
    <xf numFmtId="49" fontId="3" fillId="0" borderId="17" xfId="0" applyNumberFormat="1" applyFont="1" applyFill="1" applyBorder="1" applyAlignment="1">
      <alignment horizontal="left" vertical="center" wrapText="1"/>
    </xf>
    <xf numFmtId="0" fontId="3" fillId="0" borderId="18" xfId="0" applyNumberFormat="1" applyFont="1" applyFill="1" applyBorder="1" applyAlignment="1">
      <alignment horizontal="center" vertical="center"/>
    </xf>
    <xf numFmtId="2" fontId="2" fillId="0" borderId="19" xfId="0" applyNumberFormat="1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 vertical="center"/>
    </xf>
    <xf numFmtId="2" fontId="0" fillId="0" borderId="18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vertical="center"/>
    </xf>
    <xf numFmtId="49" fontId="1" fillId="0" borderId="21" xfId="0" applyNumberFormat="1" applyFont="1" applyFill="1" applyBorder="1" applyAlignment="1">
      <alignment vertical="center"/>
    </xf>
    <xf numFmtId="49" fontId="3" fillId="0" borderId="22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center" vertical="center"/>
    </xf>
    <xf numFmtId="2" fontId="2" fillId="0" borderId="24" xfId="0" applyNumberFormat="1" applyFont="1" applyFill="1" applyBorder="1" applyAlignment="1">
      <alignment horizontal="center" vertical="center"/>
    </xf>
    <xf numFmtId="2" fontId="2" fillId="0" borderId="25" xfId="0" applyNumberFormat="1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vertical="center"/>
    </xf>
    <xf numFmtId="49" fontId="1" fillId="0" borderId="21" xfId="0" applyNumberFormat="1" applyFont="1" applyFill="1" applyBorder="1" applyAlignment="1">
      <alignment horizontal="left" vertical="center"/>
    </xf>
    <xf numFmtId="49" fontId="1" fillId="0" borderId="23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left" vertical="center" wrapText="1"/>
    </xf>
    <xf numFmtId="0" fontId="3" fillId="0" borderId="26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49" fontId="1" fillId="0" borderId="26" xfId="0" applyNumberFormat="1" applyFont="1" applyFill="1" applyBorder="1" applyAlignment="1">
      <alignment horizontal="left" vertical="center"/>
    </xf>
    <xf numFmtId="49" fontId="3" fillId="0" borderId="27" xfId="0" applyNumberFormat="1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2" fontId="4" fillId="0" borderId="28" xfId="0" applyNumberFormat="1" applyFont="1" applyFill="1" applyBorder="1" applyAlignment="1">
      <alignment horizontal="center" vertical="center"/>
    </xf>
    <xf numFmtId="2" fontId="4" fillId="0" borderId="29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49" fontId="0" fillId="0" borderId="14" xfId="0" applyNumberFormat="1" applyFill="1" applyBorder="1" applyAlignment="1">
      <alignment horizontal="right"/>
    </xf>
    <xf numFmtId="49" fontId="10" fillId="0" borderId="15" xfId="0" applyNumberFormat="1" applyFont="1" applyFill="1" applyBorder="1" applyAlignment="1">
      <alignment horizontal="right" vertical="center" wrapText="1"/>
    </xf>
    <xf numFmtId="49" fontId="1" fillId="0" borderId="30" xfId="0" applyNumberFormat="1" applyFont="1" applyFill="1" applyBorder="1" applyAlignment="1">
      <alignment horizontal="right" vertical="center" wrapText="1"/>
    </xf>
    <xf numFmtId="2" fontId="11" fillId="0" borderId="30" xfId="0" applyNumberFormat="1" applyFont="1" applyFill="1" applyBorder="1" applyAlignment="1">
      <alignment horizontal="right" vertical="center"/>
    </xf>
    <xf numFmtId="2" fontId="4" fillId="0" borderId="30" xfId="0" applyNumberFormat="1" applyFont="1" applyFill="1" applyBorder="1" applyAlignment="1">
      <alignment horizontal="right" vertical="center"/>
    </xf>
    <xf numFmtId="0" fontId="3" fillId="0" borderId="14" xfId="0" applyNumberFormat="1" applyFont="1" applyFill="1" applyBorder="1" applyAlignment="1">
      <alignment horizontal="right" vertical="center"/>
    </xf>
    <xf numFmtId="49" fontId="3" fillId="0" borderId="31" xfId="0" applyNumberFormat="1" applyFont="1" applyFill="1" applyBorder="1" applyAlignment="1">
      <alignment horizontal="left" vertical="center" wrapText="1"/>
    </xf>
    <xf numFmtId="0" fontId="3" fillId="0" borderId="32" xfId="0" applyNumberFormat="1" applyFont="1" applyFill="1" applyBorder="1" applyAlignment="1">
      <alignment horizontal="center" vertical="center"/>
    </xf>
    <xf numFmtId="2" fontId="2" fillId="0" borderId="33" xfId="0" applyNumberFormat="1" applyFont="1" applyFill="1" applyBorder="1" applyAlignment="1">
      <alignment horizontal="center" vertical="center"/>
    </xf>
    <xf numFmtId="2" fontId="2" fillId="0" borderId="34" xfId="0" applyNumberFormat="1" applyFont="1" applyFill="1" applyBorder="1" applyAlignment="1">
      <alignment horizontal="center" vertical="center"/>
    </xf>
    <xf numFmtId="2" fontId="2" fillId="0" borderId="31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left" vertical="center"/>
    </xf>
    <xf numFmtId="49" fontId="1" fillId="0" borderId="35" xfId="0" applyNumberFormat="1" applyFont="1" applyFill="1" applyBorder="1" applyAlignment="1">
      <alignment horizontal="left" vertical="center"/>
    </xf>
    <xf numFmtId="49" fontId="3" fillId="0" borderId="36" xfId="0" applyNumberFormat="1" applyFont="1" applyFill="1" applyBorder="1" applyAlignment="1">
      <alignment horizontal="left" vertical="center" wrapText="1"/>
    </xf>
    <xf numFmtId="0" fontId="3" fillId="0" borderId="11" xfId="0" applyNumberFormat="1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 vertical="center"/>
    </xf>
    <xf numFmtId="2" fontId="2" fillId="0" borderId="38" xfId="0" applyNumberFormat="1" applyFont="1" applyFill="1" applyBorder="1" applyAlignment="1">
      <alignment horizontal="center" vertical="center"/>
    </xf>
    <xf numFmtId="2" fontId="2" fillId="0" borderId="36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right" vertical="center"/>
    </xf>
    <xf numFmtId="0" fontId="3" fillId="0" borderId="40" xfId="0" applyNumberFormat="1" applyFont="1" applyFill="1" applyBorder="1" applyAlignment="1">
      <alignment horizontal="center" vertical="center"/>
    </xf>
    <xf numFmtId="2" fontId="4" fillId="0" borderId="41" xfId="0" applyNumberFormat="1" applyFont="1" applyFill="1" applyBorder="1" applyAlignment="1">
      <alignment horizontal="center" vertical="center"/>
    </xf>
    <xf numFmtId="2" fontId="4" fillId="0" borderId="42" xfId="0" applyNumberFormat="1" applyFont="1" applyFill="1" applyBorder="1" applyAlignment="1">
      <alignment horizontal="center" vertical="center"/>
    </xf>
    <xf numFmtId="2" fontId="4" fillId="0" borderId="43" xfId="0" applyNumberFormat="1" applyFont="1" applyFill="1" applyBorder="1" applyAlignment="1">
      <alignment horizontal="center" vertical="center"/>
    </xf>
    <xf numFmtId="2" fontId="4" fillId="0" borderId="40" xfId="0" applyNumberFormat="1" applyFont="1" applyFill="1" applyBorder="1" applyAlignment="1">
      <alignment horizontal="center" vertical="center"/>
    </xf>
    <xf numFmtId="49" fontId="3" fillId="0" borderId="44" xfId="0" applyNumberFormat="1" applyFont="1" applyFill="1" applyBorder="1" applyAlignment="1">
      <alignment horizontal="right" vertical="center" wrapText="1"/>
    </xf>
    <xf numFmtId="49" fontId="3" fillId="0" borderId="45" xfId="0" applyNumberFormat="1" applyFont="1" applyFill="1" applyBorder="1" applyAlignment="1">
      <alignment horizontal="right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2" fontId="4" fillId="0" borderId="46" xfId="0" applyNumberFormat="1" applyFont="1" applyFill="1" applyBorder="1" applyAlignment="1">
      <alignment horizontal="center" vertical="center" wrapText="1"/>
    </xf>
    <xf numFmtId="2" fontId="4" fillId="0" borderId="45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49" fontId="3" fillId="0" borderId="46" xfId="0" applyNumberFormat="1" applyFont="1" applyFill="1" applyBorder="1" applyAlignment="1">
      <alignment horizontal="right" vertical="center" wrapText="1"/>
    </xf>
    <xf numFmtId="2" fontId="4" fillId="0" borderId="47" xfId="0" applyNumberFormat="1" applyFont="1" applyFill="1" applyBorder="1" applyAlignment="1">
      <alignment horizontal="right" vertical="center"/>
    </xf>
    <xf numFmtId="49" fontId="0" fillId="0" borderId="12" xfId="0" applyNumberFormat="1" applyFill="1" applyBorder="1" applyAlignment="1">
      <alignment horizontal="right" vertical="center"/>
    </xf>
    <xf numFmtId="49" fontId="7" fillId="0" borderId="13" xfId="0" applyNumberFormat="1" applyFont="1" applyFill="1" applyBorder="1" applyAlignment="1">
      <alignment horizontal="center" vertical="center" wrapText="1"/>
    </xf>
    <xf numFmtId="49" fontId="3" fillId="0" borderId="48" xfId="0" applyNumberFormat="1" applyFont="1" applyFill="1" applyBorder="1" applyAlignment="1">
      <alignment horizontal="right" vertical="center" wrapText="1"/>
    </xf>
    <xf numFmtId="2" fontId="4" fillId="0" borderId="48" xfId="0" applyNumberFormat="1" applyFont="1" applyFill="1" applyBorder="1" applyAlignment="1">
      <alignment horizontal="right" vertical="center" wrapText="1"/>
    </xf>
    <xf numFmtId="49" fontId="0" fillId="0" borderId="25" xfId="0" applyNumberFormat="1" applyFill="1" applyBorder="1" applyAlignment="1">
      <alignment horizontal="right"/>
    </xf>
    <xf numFmtId="2" fontId="0" fillId="0" borderId="49" xfId="0" applyNumberFormat="1" applyFont="1" applyFill="1" applyBorder="1" applyAlignment="1">
      <alignment horizontal="center" vertical="center"/>
    </xf>
    <xf numFmtId="49" fontId="1" fillId="0" borderId="25" xfId="0" applyNumberFormat="1" applyFont="1" applyFill="1" applyBorder="1" applyAlignment="1">
      <alignment horizontal="left" vertical="center"/>
    </xf>
    <xf numFmtId="49" fontId="1" fillId="0" borderId="21" xfId="0" applyNumberFormat="1" applyFont="1" applyFill="1" applyBorder="1" applyAlignment="1">
      <alignment horizontal="left"/>
    </xf>
    <xf numFmtId="49" fontId="1" fillId="0" borderId="25" xfId="0" applyNumberFormat="1" applyFont="1" applyFill="1" applyBorder="1" applyAlignment="1">
      <alignment horizontal="left"/>
    </xf>
    <xf numFmtId="0" fontId="1" fillId="0" borderId="21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/>
    </xf>
    <xf numFmtId="49" fontId="3" fillId="0" borderId="49" xfId="0" applyNumberFormat="1" applyFont="1" applyFill="1" applyBorder="1" applyAlignment="1">
      <alignment horizontal="right" vertical="center"/>
    </xf>
    <xf numFmtId="49" fontId="3" fillId="0" borderId="50" xfId="0" applyNumberFormat="1" applyFont="1" applyFill="1" applyBorder="1" applyAlignment="1">
      <alignment horizontal="right" vertical="center"/>
    </xf>
    <xf numFmtId="49" fontId="10" fillId="0" borderId="15" xfId="0" applyNumberFormat="1" applyFont="1" applyFill="1" applyBorder="1" applyAlignment="1">
      <alignment horizontal="right" vertical="center"/>
    </xf>
    <xf numFmtId="49" fontId="0" fillId="0" borderId="48" xfId="0" applyNumberFormat="1" applyFill="1" applyBorder="1" applyAlignment="1">
      <alignment horizontal="right" vertical="center"/>
    </xf>
    <xf numFmtId="49" fontId="0" fillId="0" borderId="30" xfId="0" applyNumberFormat="1" applyFill="1" applyBorder="1" applyAlignment="1">
      <alignment horizontal="right" vertical="center"/>
    </xf>
    <xf numFmtId="49" fontId="3" fillId="0" borderId="32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right" vertical="center"/>
    </xf>
    <xf numFmtId="1" fontId="3" fillId="0" borderId="3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right" vertical="center" wrapText="1"/>
    </xf>
    <xf numFmtId="49" fontId="3" fillId="0" borderId="39" xfId="0" applyNumberFormat="1" applyFont="1" applyFill="1" applyBorder="1" applyAlignment="1">
      <alignment horizontal="right" vertical="center" wrapText="1"/>
    </xf>
    <xf numFmtId="1" fontId="3" fillId="0" borderId="40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39" xfId="0" applyNumberFormat="1" applyFont="1" applyFill="1" applyBorder="1" applyAlignment="1">
      <alignment horizontal="center" vertical="center" wrapText="1"/>
    </xf>
    <xf numFmtId="2" fontId="4" fillId="0" borderId="40" xfId="0" applyNumberFormat="1" applyFont="1" applyFill="1" applyBorder="1" applyAlignment="1">
      <alignment horizontal="center" vertical="center" wrapText="1"/>
    </xf>
    <xf numFmtId="49" fontId="0" fillId="0" borderId="12" xfId="0" applyNumberFormat="1" applyFill="1" applyBorder="1"/>
    <xf numFmtId="49" fontId="10" fillId="0" borderId="1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right" vertical="center" wrapText="1"/>
    </xf>
    <xf numFmtId="49" fontId="3" fillId="0" borderId="22" xfId="0" applyNumberFormat="1" applyFont="1" applyFill="1" applyBorder="1" applyAlignment="1">
      <alignment horizontal="left" vertical="top" wrapText="1"/>
    </xf>
    <xf numFmtId="2" fontId="0" fillId="0" borderId="24" xfId="0" applyNumberFormat="1" applyFont="1" applyFill="1" applyBorder="1" applyAlignment="1">
      <alignment horizontal="center" vertical="center"/>
    </xf>
    <xf numFmtId="2" fontId="0" fillId="0" borderId="25" xfId="0" applyNumberFormat="1" applyFont="1" applyFill="1" applyBorder="1" applyAlignment="1">
      <alignment horizontal="center" vertical="center"/>
    </xf>
    <xf numFmtId="2" fontId="0" fillId="0" borderId="2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right" vertical="center"/>
    </xf>
    <xf numFmtId="1" fontId="3" fillId="0" borderId="18" xfId="0" applyNumberFormat="1" applyFont="1" applyFill="1" applyBorder="1" applyAlignment="1">
      <alignment horizontal="center" vertical="center"/>
    </xf>
    <xf numFmtId="2" fontId="4" fillId="0" borderId="19" xfId="0" applyNumberFormat="1" applyFont="1" applyFill="1" applyBorder="1" applyAlignment="1">
      <alignment horizontal="center" vertical="center"/>
    </xf>
    <xf numFmtId="2" fontId="4" fillId="0" borderId="20" xfId="0" applyNumberFormat="1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/>
    </xf>
    <xf numFmtId="2" fontId="4" fillId="0" borderId="18" xfId="0" applyNumberFormat="1" applyFont="1" applyFill="1" applyBorder="1" applyAlignment="1">
      <alignment horizontal="center" vertical="center"/>
    </xf>
    <xf numFmtId="49" fontId="10" fillId="0" borderId="51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horizontal="right"/>
    </xf>
    <xf numFmtId="2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0" fillId="0" borderId="0" xfId="0" applyFill="1"/>
    <xf numFmtId="0" fontId="3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right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0" fontId="1" fillId="0" borderId="52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/>
    </xf>
    <xf numFmtId="1" fontId="3" fillId="0" borderId="40" xfId="0" applyNumberFormat="1" applyFont="1" applyFill="1" applyBorder="1" applyAlignment="1">
      <alignment horizontal="center" vertical="center"/>
    </xf>
    <xf numFmtId="2" fontId="4" fillId="0" borderId="41" xfId="0" applyNumberFormat="1" applyFont="1" applyFill="1" applyBorder="1" applyAlignment="1">
      <alignment horizontal="center"/>
    </xf>
    <xf numFmtId="2" fontId="4" fillId="0" borderId="42" xfId="0" applyNumberFormat="1" applyFont="1" applyFill="1" applyBorder="1" applyAlignment="1">
      <alignment horizontal="center"/>
    </xf>
    <xf numFmtId="2" fontId="4" fillId="0" borderId="43" xfId="0" applyNumberFormat="1" applyFont="1" applyFill="1" applyBorder="1" applyAlignment="1">
      <alignment horizontal="center"/>
    </xf>
    <xf numFmtId="2" fontId="4" fillId="0" borderId="40" xfId="0" applyNumberFormat="1" applyFont="1" applyFill="1" applyBorder="1" applyAlignment="1">
      <alignment horizontal="center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2" fontId="4" fillId="0" borderId="47" xfId="0" applyNumberFormat="1" applyFont="1" applyFill="1" applyBorder="1"/>
    <xf numFmtId="49" fontId="10" fillId="0" borderId="53" xfId="0" applyNumberFormat="1" applyFont="1" applyFill="1" applyBorder="1" applyAlignment="1">
      <alignment horizontal="left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49" fontId="1" fillId="0" borderId="52" xfId="0" applyNumberFormat="1" applyFont="1" applyFill="1" applyBorder="1" applyAlignment="1">
      <alignment vertical="center"/>
    </xf>
    <xf numFmtId="49" fontId="3" fillId="0" borderId="31" xfId="0" applyNumberFormat="1" applyFont="1" applyFill="1" applyBorder="1" applyAlignment="1">
      <alignment vertical="center" wrapText="1"/>
    </xf>
    <xf numFmtId="49" fontId="3" fillId="0" borderId="22" xfId="0" applyNumberFormat="1" applyFont="1" applyFill="1" applyBorder="1" applyAlignment="1">
      <alignment vertical="center" wrapText="1"/>
    </xf>
    <xf numFmtId="49" fontId="3" fillId="0" borderId="36" xfId="0" applyNumberFormat="1" applyFont="1" applyFill="1" applyBorder="1" applyAlignment="1">
      <alignment vertical="center" wrapText="1"/>
    </xf>
    <xf numFmtId="49" fontId="1" fillId="0" borderId="26" xfId="0" applyNumberFormat="1" applyFont="1" applyFill="1" applyBorder="1" applyAlignment="1">
      <alignment vertical="center"/>
    </xf>
    <xf numFmtId="0" fontId="0" fillId="0" borderId="14" xfId="0" applyFill="1" applyBorder="1"/>
    <xf numFmtId="49" fontId="1" fillId="0" borderId="35" xfId="0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horizontal="center"/>
    </xf>
    <xf numFmtId="49" fontId="10" fillId="0" borderId="15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12" fillId="0" borderId="21" xfId="0" applyNumberFormat="1" applyFont="1" applyFill="1" applyBorder="1" applyAlignment="1">
      <alignment horizontal="left"/>
    </xf>
    <xf numFmtId="49" fontId="12" fillId="0" borderId="18" xfId="0" applyNumberFormat="1" applyFont="1" applyFill="1" applyBorder="1" applyAlignment="1">
      <alignment horizontal="left"/>
    </xf>
    <xf numFmtId="49" fontId="1" fillId="0" borderId="23" xfId="0" applyNumberFormat="1" applyFont="1" applyFill="1" applyBorder="1" applyAlignment="1">
      <alignment horizontal="left"/>
    </xf>
    <xf numFmtId="0" fontId="0" fillId="0" borderId="24" xfId="0" applyNumberFormat="1" applyFont="1" applyFill="1" applyBorder="1" applyAlignment="1">
      <alignment horizontal="center" vertical="center"/>
    </xf>
    <xf numFmtId="0" fontId="0" fillId="0" borderId="25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center" vertical="center" wrapText="1"/>
    </xf>
    <xf numFmtId="49" fontId="1" fillId="0" borderId="35" xfId="0" applyNumberFormat="1" applyFont="1" applyFill="1" applyBorder="1" applyAlignment="1">
      <alignment horizontal="left"/>
    </xf>
    <xf numFmtId="49" fontId="3" fillId="0" borderId="36" xfId="0" applyNumberFormat="1" applyFont="1" applyFill="1" applyBorder="1" applyAlignment="1">
      <alignment vertical="top" wrapText="1"/>
    </xf>
    <xf numFmtId="0" fontId="3" fillId="0" borderId="11" xfId="0" applyNumberFormat="1" applyFont="1" applyFill="1" applyBorder="1" applyAlignment="1">
      <alignment horizontal="center" vertical="center" wrapText="1"/>
    </xf>
    <xf numFmtId="49" fontId="1" fillId="0" borderId="26" xfId="0" applyNumberFormat="1" applyFont="1" applyFill="1" applyBorder="1" applyAlignment="1">
      <alignment horizontal="left"/>
    </xf>
    <xf numFmtId="49" fontId="1" fillId="0" borderId="52" xfId="0" applyNumberFormat="1" applyFont="1" applyFill="1" applyBorder="1" applyAlignment="1">
      <alignment horizontal="left"/>
    </xf>
    <xf numFmtId="49" fontId="1" fillId="0" borderId="18" xfId="0" applyNumberFormat="1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2" fontId="4" fillId="0" borderId="28" xfId="0" applyNumberFormat="1" applyFont="1" applyFill="1" applyBorder="1" applyAlignment="1">
      <alignment horizontal="center"/>
    </xf>
    <xf numFmtId="2" fontId="4" fillId="0" borderId="29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49" fontId="0" fillId="0" borderId="12" xfId="0" applyNumberFormat="1" applyFill="1" applyBorder="1" applyAlignment="1">
      <alignment horizontal="left"/>
    </xf>
    <xf numFmtId="49" fontId="0" fillId="0" borderId="13" xfId="0" applyNumberForma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 vertical="center" wrapText="1"/>
    </xf>
    <xf numFmtId="49" fontId="1" fillId="0" borderId="52" xfId="0" applyNumberFormat="1" applyFont="1" applyFill="1" applyBorder="1" applyAlignment="1">
      <alignment horizontal="left" vertical="center"/>
    </xf>
    <xf numFmtId="49" fontId="3" fillId="0" borderId="36" xfId="0" applyNumberFormat="1" applyFont="1" applyFill="1" applyBorder="1" applyAlignment="1">
      <alignment horizontal="left" vertical="top" wrapText="1"/>
    </xf>
    <xf numFmtId="0" fontId="3" fillId="0" borderId="18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right"/>
    </xf>
    <xf numFmtId="49" fontId="1" fillId="0" borderId="21" xfId="0" applyNumberFormat="1" applyFont="1" applyFill="1" applyBorder="1" applyAlignment="1"/>
    <xf numFmtId="49" fontId="1" fillId="0" borderId="23" xfId="0" applyNumberFormat="1" applyFont="1" applyFill="1" applyBorder="1" applyAlignment="1"/>
    <xf numFmtId="49" fontId="13" fillId="0" borderId="12" xfId="0" applyNumberFormat="1" applyFont="1" applyFill="1" applyBorder="1"/>
    <xf numFmtId="49" fontId="3" fillId="0" borderId="3" xfId="0" applyNumberFormat="1" applyFont="1" applyFill="1" applyBorder="1" applyAlignment="1">
      <alignment horizontal="center"/>
    </xf>
    <xf numFmtId="49" fontId="3" fillId="0" borderId="40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right" vertical="center" wrapText="1"/>
    </xf>
    <xf numFmtId="49" fontId="3" fillId="0" borderId="33" xfId="0" applyNumberFormat="1" applyFont="1" applyFill="1" applyBorder="1" applyAlignment="1">
      <alignment horizontal="right" vertical="center" wrapText="1"/>
    </xf>
    <xf numFmtId="2" fontId="4" fillId="0" borderId="34" xfId="0" applyNumberFormat="1" applyFont="1" applyFill="1" applyBorder="1" applyAlignment="1">
      <alignment horizontal="center"/>
    </xf>
    <xf numFmtId="2" fontId="3" fillId="0" borderId="18" xfId="0" applyNumberFormat="1" applyFont="1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right" vertical="center"/>
    </xf>
    <xf numFmtId="2" fontId="4" fillId="0" borderId="0" xfId="0" applyNumberFormat="1" applyFont="1" applyFill="1" applyBorder="1"/>
    <xf numFmtId="2" fontId="0" fillId="0" borderId="0" xfId="0" applyNumberFormat="1" applyFont="1" applyFill="1" applyBorder="1"/>
    <xf numFmtId="49" fontId="1" fillId="0" borderId="0" xfId="0" applyNumberFormat="1" applyFont="1" applyFill="1" applyBorder="1" applyAlignment="1"/>
    <xf numFmtId="49" fontId="0" fillId="0" borderId="0" xfId="0" applyNumberFormat="1" applyFont="1" applyFill="1" applyBorder="1" applyAlignment="1">
      <alignment wrapText="1"/>
    </xf>
    <xf numFmtId="49" fontId="0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/>
    <xf numFmtId="49" fontId="0" fillId="0" borderId="0" xfId="0" applyNumberFormat="1" applyFill="1" applyAlignment="1">
      <alignment wrapText="1"/>
    </xf>
    <xf numFmtId="0" fontId="3" fillId="0" borderId="0" xfId="0" applyNumberFormat="1" applyFont="1" applyFill="1"/>
    <xf numFmtId="0" fontId="0" fillId="0" borderId="0" xfId="0" applyNumberFormat="1" applyFill="1" applyAlignment="1"/>
    <xf numFmtId="49" fontId="6" fillId="0" borderId="0" xfId="0" applyNumberFormat="1" applyFont="1" applyFill="1" applyAlignment="1"/>
    <xf numFmtId="49" fontId="0" fillId="0" borderId="2" xfId="0" applyNumberFormat="1" applyFont="1" applyFill="1" applyBorder="1" applyAlignment="1">
      <alignment vertical="center" wrapText="1"/>
    </xf>
    <xf numFmtId="2" fontId="0" fillId="0" borderId="4" xfId="0" applyNumberFormat="1" applyFont="1" applyFill="1" applyBorder="1" applyAlignment="1">
      <alignment horizontal="center" vertical="center" wrapText="1"/>
    </xf>
    <xf numFmtId="2" fontId="0" fillId="0" borderId="12" xfId="0" applyNumberFormat="1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vertical="center" wrapText="1"/>
    </xf>
    <xf numFmtId="2" fontId="0" fillId="0" borderId="8" xfId="0" applyNumberFormat="1" applyFont="1" applyFill="1" applyBorder="1" applyAlignment="1">
      <alignment horizontal="center"/>
    </xf>
    <xf numFmtId="2" fontId="0" fillId="0" borderId="9" xfId="0" applyNumberFormat="1" applyFont="1" applyFill="1" applyBorder="1" applyAlignment="1">
      <alignment horizontal="center"/>
    </xf>
    <xf numFmtId="2" fontId="0" fillId="0" borderId="10" xfId="0" applyNumberFormat="1" applyFont="1" applyFill="1" applyBorder="1" applyAlignment="1">
      <alignment horizontal="center"/>
    </xf>
    <xf numFmtId="2" fontId="0" fillId="0" borderId="44" xfId="0" applyNumberFormat="1" applyFont="1" applyFill="1" applyBorder="1" applyAlignment="1">
      <alignment horizontal="center" vertical="center" wrapText="1"/>
    </xf>
    <xf numFmtId="49" fontId="0" fillId="0" borderId="13" xfId="0" applyNumberFormat="1" applyFill="1" applyBorder="1" applyAlignment="1">
      <alignment wrapText="1"/>
    </xf>
    <xf numFmtId="0" fontId="0" fillId="0" borderId="13" xfId="0" applyNumberFormat="1" applyFill="1" applyBorder="1"/>
    <xf numFmtId="2" fontId="0" fillId="0" borderId="19" xfId="0" applyNumberFormat="1" applyFont="1" applyFill="1" applyBorder="1" applyAlignment="1">
      <alignment horizontal="center" vertical="center"/>
    </xf>
    <xf numFmtId="2" fontId="0" fillId="0" borderId="20" xfId="0" applyNumberFormat="1" applyFont="1" applyFill="1" applyBorder="1" applyAlignment="1">
      <alignment horizontal="center" vertical="center"/>
    </xf>
    <xf numFmtId="2" fontId="0" fillId="0" borderId="17" xfId="0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2" fontId="0" fillId="0" borderId="9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vertical="center"/>
    </xf>
    <xf numFmtId="49" fontId="3" fillId="0" borderId="13" xfId="0" applyNumberFormat="1" applyFont="1" applyFill="1" applyBorder="1" applyAlignment="1">
      <alignment vertical="center" wrapText="1"/>
    </xf>
    <xf numFmtId="2" fontId="3" fillId="0" borderId="28" xfId="0" applyNumberFormat="1" applyFont="1" applyFill="1" applyBorder="1" applyAlignment="1">
      <alignment horizontal="center" vertical="center"/>
    </xf>
    <xf numFmtId="2" fontId="3" fillId="0" borderId="29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49" fontId="10" fillId="0" borderId="51" xfId="0" applyNumberFormat="1" applyFont="1" applyFill="1" applyBorder="1" applyAlignment="1">
      <alignment horizontal="right" vertical="center" wrapText="1"/>
    </xf>
    <xf numFmtId="49" fontId="7" fillId="0" borderId="30" xfId="0" applyNumberFormat="1" applyFont="1" applyFill="1" applyBorder="1" applyAlignment="1">
      <alignment horizontal="right" vertical="center"/>
    </xf>
    <xf numFmtId="0" fontId="3" fillId="0" borderId="30" xfId="0" applyNumberFormat="1" applyFont="1" applyFill="1" applyBorder="1" applyAlignment="1">
      <alignment horizontal="right" vertical="center"/>
    </xf>
    <xf numFmtId="2" fontId="0" fillId="0" borderId="33" xfId="0" applyNumberFormat="1" applyFont="1" applyFill="1" applyBorder="1" applyAlignment="1">
      <alignment horizontal="center" vertical="center"/>
    </xf>
    <xf numFmtId="2" fontId="0" fillId="0" borderId="34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2" fontId="0" fillId="0" borderId="53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8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vertical="center"/>
    </xf>
    <xf numFmtId="49" fontId="3" fillId="0" borderId="39" xfId="0" applyNumberFormat="1" applyFont="1" applyFill="1" applyBorder="1" applyAlignment="1">
      <alignment vertical="center" wrapText="1"/>
    </xf>
    <xf numFmtId="2" fontId="3" fillId="0" borderId="41" xfId="0" applyNumberFormat="1" applyFont="1" applyFill="1" applyBorder="1" applyAlignment="1">
      <alignment horizontal="center" vertical="center"/>
    </xf>
    <xf numFmtId="2" fontId="3" fillId="0" borderId="42" xfId="0" applyNumberFormat="1" applyFont="1" applyFill="1" applyBorder="1" applyAlignment="1">
      <alignment horizontal="center" vertical="center"/>
    </xf>
    <xf numFmtId="2" fontId="3" fillId="0" borderId="43" xfId="0" applyNumberFormat="1" applyFont="1" applyFill="1" applyBorder="1" applyAlignment="1">
      <alignment horizontal="center" vertical="center"/>
    </xf>
    <xf numFmtId="2" fontId="3" fillId="0" borderId="27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vertical="center" wrapText="1"/>
    </xf>
    <xf numFmtId="2" fontId="3" fillId="0" borderId="46" xfId="0" applyNumberFormat="1" applyFont="1" applyFill="1" applyBorder="1" applyAlignment="1">
      <alignment horizontal="center" vertical="center" wrapText="1"/>
    </xf>
    <xf numFmtId="2" fontId="3" fillId="0" borderId="45" xfId="0" applyNumberFormat="1" applyFont="1" applyFill="1" applyBorder="1" applyAlignment="1">
      <alignment horizontal="center" vertical="center" wrapText="1"/>
    </xf>
    <xf numFmtId="2" fontId="3" fillId="0" borderId="44" xfId="0" applyNumberFormat="1" applyFont="1" applyFill="1" applyBorder="1" applyAlignment="1">
      <alignment horizontal="center" vertical="center" wrapText="1"/>
    </xf>
    <xf numFmtId="2" fontId="3" fillId="0" borderId="47" xfId="0" applyNumberFormat="1" applyFont="1" applyFill="1" applyBorder="1" applyAlignment="1">
      <alignment horizontal="right" vertical="center"/>
    </xf>
    <xf numFmtId="2" fontId="3" fillId="0" borderId="6" xfId="0" applyNumberFormat="1" applyFont="1" applyFill="1" applyBorder="1" applyAlignment="1">
      <alignment horizontal="right" vertical="center"/>
    </xf>
    <xf numFmtId="0" fontId="3" fillId="0" borderId="48" xfId="0" applyNumberFormat="1" applyFont="1" applyFill="1" applyBorder="1" applyAlignment="1">
      <alignment horizontal="right" vertical="center" wrapText="1"/>
    </xf>
    <xf numFmtId="0" fontId="1" fillId="0" borderId="23" xfId="0" applyFont="1" applyFill="1" applyBorder="1" applyAlignment="1">
      <alignment horizontal="left" vertical="center"/>
    </xf>
    <xf numFmtId="49" fontId="3" fillId="0" borderId="49" xfId="0" applyNumberFormat="1" applyFont="1" applyFill="1" applyBorder="1" applyAlignment="1">
      <alignment vertical="center"/>
    </xf>
    <xf numFmtId="49" fontId="3" fillId="0" borderId="50" xfId="0" applyNumberFormat="1" applyFont="1" applyFill="1" applyBorder="1" applyAlignment="1">
      <alignment vertical="center" wrapText="1"/>
    </xf>
    <xf numFmtId="49" fontId="0" fillId="0" borderId="48" xfId="0" applyNumberFormat="1" applyFill="1" applyBorder="1" applyAlignment="1">
      <alignment horizontal="right" vertical="center" wrapText="1"/>
    </xf>
    <xf numFmtId="180" fontId="3" fillId="0" borderId="41" xfId="0" applyNumberFormat="1" applyFont="1" applyFill="1" applyBorder="1" applyAlignment="1">
      <alignment horizontal="center" vertical="center" wrapText="1"/>
    </xf>
    <xf numFmtId="180" fontId="3" fillId="0" borderId="39" xfId="0" applyNumberFormat="1" applyFont="1" applyFill="1" applyBorder="1" applyAlignment="1">
      <alignment horizontal="center" vertical="center" wrapText="1"/>
    </xf>
    <xf numFmtId="180" fontId="3" fillId="0" borderId="27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vertical="center" wrapText="1"/>
    </xf>
    <xf numFmtId="2" fontId="3" fillId="0" borderId="19" xfId="0" applyNumberFormat="1" applyFont="1" applyFill="1" applyBorder="1" applyAlignment="1">
      <alignment horizontal="center" vertical="center"/>
    </xf>
    <xf numFmtId="2" fontId="3" fillId="0" borderId="20" xfId="0" applyNumberFormat="1" applyFont="1" applyFill="1" applyBorder="1" applyAlignment="1">
      <alignment horizontal="center" vertical="center"/>
    </xf>
    <xf numFmtId="2" fontId="3" fillId="0" borderId="17" xfId="0" applyNumberFormat="1" applyFont="1" applyFill="1" applyBorder="1" applyAlignment="1">
      <alignment horizontal="center" vertical="center"/>
    </xf>
    <xf numFmtId="2" fontId="3" fillId="0" borderId="49" xfId="0" applyNumberFormat="1" applyFont="1" applyFill="1" applyBorder="1" applyAlignment="1">
      <alignment horizontal="center" vertical="center"/>
    </xf>
    <xf numFmtId="49" fontId="0" fillId="0" borderId="30" xfId="0" applyNumberFormat="1" applyFill="1" applyBorder="1" applyAlignment="1">
      <alignment horizontal="right" vertical="center" wrapText="1"/>
    </xf>
    <xf numFmtId="2" fontId="3" fillId="0" borderId="41" xfId="0" applyNumberFormat="1" applyFont="1" applyFill="1" applyBorder="1" applyAlignment="1">
      <alignment horizontal="center"/>
    </xf>
    <xf numFmtId="2" fontId="3" fillId="0" borderId="42" xfId="0" applyNumberFormat="1" applyFont="1" applyFill="1" applyBorder="1" applyAlignment="1">
      <alignment horizontal="center"/>
    </xf>
    <xf numFmtId="2" fontId="3" fillId="0" borderId="43" xfId="0" applyNumberFormat="1" applyFont="1" applyFill="1" applyBorder="1" applyAlignment="1">
      <alignment horizontal="center"/>
    </xf>
    <xf numFmtId="2" fontId="3" fillId="0" borderId="27" xfId="0" applyNumberFormat="1" applyFont="1" applyFill="1" applyBorder="1" applyAlignment="1">
      <alignment horizontal="center"/>
    </xf>
    <xf numFmtId="180" fontId="3" fillId="0" borderId="42" xfId="0" applyNumberFormat="1" applyFont="1" applyFill="1" applyBorder="1" applyAlignment="1">
      <alignment horizontal="center" vertical="center" wrapText="1"/>
    </xf>
    <xf numFmtId="180" fontId="3" fillId="0" borderId="43" xfId="0" applyNumberFormat="1" applyFont="1" applyFill="1" applyBorder="1" applyAlignment="1">
      <alignment horizontal="center" vertical="center" wrapText="1"/>
    </xf>
    <xf numFmtId="2" fontId="3" fillId="0" borderId="47" xfId="0" applyNumberFormat="1" applyFont="1" applyFill="1" applyBorder="1"/>
    <xf numFmtId="2" fontId="3" fillId="0" borderId="6" xfId="0" applyNumberFormat="1" applyFont="1" applyFill="1" applyBorder="1"/>
    <xf numFmtId="0" fontId="3" fillId="0" borderId="48" xfId="0" applyNumberFormat="1" applyFont="1" applyFill="1" applyBorder="1" applyAlignment="1">
      <alignment horizontal="center" vertical="center" wrapText="1"/>
    </xf>
    <xf numFmtId="0" fontId="0" fillId="0" borderId="33" xfId="0" applyNumberFormat="1" applyFont="1" applyFill="1" applyBorder="1" applyAlignment="1">
      <alignment horizontal="center" vertical="center"/>
    </xf>
    <xf numFmtId="0" fontId="0" fillId="0" borderId="34" xfId="0" applyNumberFormat="1" applyFont="1" applyFill="1" applyBorder="1" applyAlignment="1">
      <alignment horizontal="center" vertical="center"/>
    </xf>
    <xf numFmtId="0" fontId="0" fillId="0" borderId="31" xfId="0" applyNumberFormat="1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center" vertical="center"/>
    </xf>
    <xf numFmtId="0" fontId="3" fillId="0" borderId="29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41" xfId="0" applyNumberFormat="1" applyFont="1" applyFill="1" applyBorder="1" applyAlignment="1">
      <alignment horizontal="center" vertical="center"/>
    </xf>
    <xf numFmtId="0" fontId="3" fillId="0" borderId="42" xfId="0" applyNumberFormat="1" applyFont="1" applyFill="1" applyBorder="1" applyAlignment="1">
      <alignment horizontal="center" vertical="center"/>
    </xf>
    <xf numFmtId="0" fontId="3" fillId="0" borderId="43" xfId="0" applyNumberFormat="1" applyFont="1" applyFill="1" applyBorder="1" applyAlignment="1">
      <alignment horizontal="center" vertical="center"/>
    </xf>
    <xf numFmtId="0" fontId="3" fillId="0" borderId="27" xfId="0" applyNumberFormat="1" applyFont="1" applyFill="1" applyBorder="1" applyAlignment="1">
      <alignment horizontal="center" vertical="center"/>
    </xf>
    <xf numFmtId="0" fontId="0" fillId="0" borderId="37" xfId="0" applyNumberFormat="1" applyFont="1" applyFill="1" applyBorder="1" applyAlignment="1">
      <alignment horizontal="center" vertical="center"/>
    </xf>
    <xf numFmtId="0" fontId="0" fillId="0" borderId="38" xfId="0" applyNumberFormat="1" applyFont="1" applyFill="1" applyBorder="1" applyAlignment="1">
      <alignment horizontal="center" vertical="center"/>
    </xf>
    <xf numFmtId="0" fontId="0" fillId="0" borderId="36" xfId="0" applyNumberFormat="1" applyFont="1" applyFill="1" applyBorder="1" applyAlignment="1">
      <alignment horizontal="center" vertical="center"/>
    </xf>
    <xf numFmtId="1" fontId="3" fillId="0" borderId="49" xfId="0" applyNumberFormat="1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center"/>
    </xf>
    <xf numFmtId="0" fontId="3" fillId="0" borderId="29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180" fontId="3" fillId="0" borderId="41" xfId="0" applyNumberFormat="1" applyFont="1" applyFill="1" applyBorder="1" applyAlignment="1">
      <alignment horizontal="center" vertical="center"/>
    </xf>
    <xf numFmtId="1" fontId="3" fillId="0" borderId="42" xfId="0" applyNumberFormat="1" applyFont="1" applyFill="1" applyBorder="1" applyAlignment="1">
      <alignment horizontal="center" vertical="center"/>
    </xf>
    <xf numFmtId="180" fontId="3" fillId="0" borderId="43" xfId="0" applyNumberFormat="1" applyFont="1" applyFill="1" applyBorder="1" applyAlignment="1">
      <alignment horizontal="center" vertical="center"/>
    </xf>
    <xf numFmtId="1" fontId="3" fillId="0" borderId="27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49" xfId="0" applyNumberFormat="1" applyFont="1" applyFill="1" applyBorder="1" applyAlignment="1">
      <alignment horizontal="center" vertical="center"/>
    </xf>
    <xf numFmtId="0" fontId="7" fillId="0" borderId="30" xfId="0" applyNumberFormat="1" applyFont="1" applyFill="1" applyBorder="1" applyAlignment="1">
      <alignment horizontal="right" vertical="center"/>
    </xf>
    <xf numFmtId="0" fontId="3" fillId="0" borderId="47" xfId="0" applyNumberFormat="1" applyFont="1" applyFill="1" applyBorder="1"/>
    <xf numFmtId="0" fontId="3" fillId="0" borderId="6" xfId="0" applyNumberFormat="1" applyFont="1" applyFill="1" applyBorder="1"/>
    <xf numFmtId="49" fontId="3" fillId="0" borderId="41" xfId="0" applyNumberFormat="1" applyFont="1" applyFill="1" applyBorder="1" applyAlignment="1">
      <alignment horizontal="right" vertical="center" wrapText="1"/>
    </xf>
    <xf numFmtId="0" fontId="3" fillId="0" borderId="42" xfId="0" applyNumberFormat="1" applyFont="1" applyFill="1" applyBorder="1" applyAlignment="1">
      <alignment horizontal="center"/>
    </xf>
    <xf numFmtId="0" fontId="3" fillId="0" borderId="54" xfId="0" applyNumberFormat="1" applyFont="1" applyFill="1" applyBorder="1" applyAlignment="1">
      <alignment horizontal="center"/>
    </xf>
    <xf numFmtId="2" fontId="3" fillId="0" borderId="0" xfId="0" applyNumberFormat="1" applyFont="1" applyFill="1" applyBorder="1"/>
    <xf numFmtId="49" fontId="0" fillId="0" borderId="0" xfId="0" applyNumberFormat="1" applyFont="1" applyFill="1" applyAlignment="1">
      <alignment wrapTex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N230"/>
  <sheetViews>
    <sheetView tabSelected="1" view="pageBreakPreview" zoomScale="90" zoomScaleNormal="100" topLeftCell="A187" workbookViewId="0">
      <pane xSplit="23540" topLeftCell="J1" activePane="topLeft"/>
      <selection activeCell="D162" sqref="D162"/>
      <selection pane="topRight"/>
    </sheetView>
  </sheetViews>
  <sheetFormatPr defaultColWidth="9.17592592592593" defaultRowHeight="19.5" customHeight="1"/>
  <cols>
    <col min="1" max="1" width="16.8148148148148" style="2" customWidth="1"/>
    <col min="2" max="2" width="42.4537037037037" style="228" customWidth="1"/>
    <col min="3" max="3" width="10.2685185185185" style="4" customWidth="1"/>
    <col min="4" max="4" width="8" style="3" customWidth="1"/>
    <col min="5" max="6" width="8" style="7" customWidth="1"/>
    <col min="7" max="7" width="9.81481481481481" style="7" customWidth="1"/>
    <col min="8" max="8" width="30.8148148148148" style="7" customWidth="1"/>
    <col min="9" max="15" width="8" style="7" customWidth="1"/>
    <col min="16" max="16" width="5.72222222222222" style="7" customWidth="1"/>
    <col min="17" max="17" width="5.5462962962963" style="8" customWidth="1"/>
    <col min="18" max="16384" width="9.17592592592593" style="3"/>
  </cols>
  <sheetData>
    <row r="1" customHeight="1" spans="1:1">
      <c r="A1" s="9"/>
    </row>
    <row r="2" customHeight="1" spans="1:16">
      <c r="A2" s="10"/>
      <c r="F2" s="229"/>
      <c r="G2" s="13"/>
      <c r="H2" s="16"/>
      <c r="K2" s="148"/>
      <c r="L2" s="148"/>
      <c r="M2" s="148"/>
      <c r="N2" s="148"/>
      <c r="O2" s="148"/>
      <c r="P2" s="148"/>
    </row>
    <row r="3" customHeight="1" spans="1:16">
      <c r="A3" s="14"/>
      <c r="D3" s="11"/>
      <c r="E3" s="230"/>
      <c r="F3" s="230"/>
      <c r="G3" s="16"/>
      <c r="H3" s="16"/>
      <c r="J3" s="149"/>
      <c r="K3" s="149"/>
      <c r="L3" s="149"/>
      <c r="M3" s="149"/>
      <c r="N3" s="149"/>
      <c r="O3" s="149"/>
      <c r="P3" s="149"/>
    </row>
    <row r="4" customHeight="1" spans="1:16">
      <c r="A4" s="17"/>
      <c r="D4" s="231"/>
      <c r="E4" s="231"/>
      <c r="F4" s="231"/>
      <c r="G4" s="19"/>
      <c r="H4" s="19"/>
      <c r="J4" s="149"/>
      <c r="K4" s="149"/>
      <c r="L4" s="149"/>
      <c r="M4" s="149"/>
      <c r="N4" s="149"/>
      <c r="O4" s="149"/>
      <c r="P4" s="149"/>
    </row>
    <row r="5" customHeight="1" spans="1:16">
      <c r="A5" s="17"/>
      <c r="D5" s="11"/>
      <c r="E5" s="230"/>
      <c r="F5" s="230"/>
      <c r="G5" s="16"/>
      <c r="H5" s="16"/>
      <c r="J5" s="149"/>
      <c r="K5" s="149"/>
      <c r="L5" s="149"/>
      <c r="M5" s="149"/>
      <c r="N5" s="149"/>
      <c r="O5" s="149"/>
      <c r="P5" s="149"/>
    </row>
    <row r="6" customHeight="1" spans="1:1">
      <c r="A6" s="17"/>
    </row>
    <row r="7" customHeight="1" spans="1:1">
      <c r="A7" s="17"/>
    </row>
    <row r="8" customHeight="1" spans="1:1">
      <c r="A8" s="17"/>
    </row>
    <row r="9" customHeight="1" spans="1:16">
      <c r="A9" s="21" t="s">
        <v>0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customHeight="1" spans="1:16">
      <c r="A10" s="21" t="s">
        <v>1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customHeight="1" spans="1:16">
      <c r="A11" s="21" t="s">
        <v>2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customHeight="1" spans="1:16">
      <c r="A12" s="2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151"/>
      <c r="O12" s="151"/>
      <c r="P12" s="151"/>
    </row>
    <row r="13" customHeight="1" spans="2:17">
      <c r="B13" s="4"/>
      <c r="C13" s="3"/>
      <c r="D13" s="7"/>
      <c r="P13" s="8"/>
      <c r="Q13" s="3"/>
    </row>
    <row r="14" s="1" customFormat="1" ht="24.75" customHeight="1" spans="1:58">
      <c r="A14" s="23"/>
      <c r="B14" s="232" t="s">
        <v>3</v>
      </c>
      <c r="C14" s="25" t="s">
        <v>4</v>
      </c>
      <c r="D14" s="233" t="s">
        <v>5</v>
      </c>
      <c r="E14" s="233"/>
      <c r="F14" s="233"/>
      <c r="G14" s="234" t="s">
        <v>6</v>
      </c>
      <c r="H14" s="28" t="s">
        <v>7</v>
      </c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</row>
    <row r="15" s="1" customFormat="1" customHeight="1" spans="1:58">
      <c r="A15" s="29"/>
      <c r="B15" s="235"/>
      <c r="C15" s="31"/>
      <c r="D15" s="236" t="s">
        <v>8</v>
      </c>
      <c r="E15" s="237" t="s">
        <v>9</v>
      </c>
      <c r="F15" s="238" t="s">
        <v>10</v>
      </c>
      <c r="G15" s="239"/>
      <c r="H15" s="36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</row>
    <row r="16" ht="17.25" customHeight="1" spans="1:17">
      <c r="A16" s="37" t="s">
        <v>11</v>
      </c>
      <c r="B16" s="240"/>
      <c r="C16" s="39"/>
      <c r="D16" s="38"/>
      <c r="E16" s="38"/>
      <c r="F16" s="241"/>
      <c r="G16" s="241"/>
      <c r="H16" s="41"/>
      <c r="J16" s="3"/>
      <c r="K16" s="3"/>
      <c r="L16" s="3"/>
      <c r="M16" s="3"/>
      <c r="N16" s="3"/>
      <c r="O16" s="3"/>
      <c r="P16" s="3"/>
      <c r="Q16" s="3"/>
    </row>
    <row r="17" ht="17.25" customHeight="1" spans="1:17">
      <c r="A17" s="42"/>
      <c r="B17" s="43" t="s">
        <v>12</v>
      </c>
      <c r="C17" s="43"/>
      <c r="D17" s="43"/>
      <c r="E17" s="43"/>
      <c r="F17" s="43"/>
      <c r="G17" s="43"/>
      <c r="H17" s="41"/>
      <c r="J17" s="3"/>
      <c r="K17" s="3"/>
      <c r="L17" s="3"/>
      <c r="M17" s="3"/>
      <c r="N17" s="3"/>
      <c r="O17" s="3"/>
      <c r="P17" s="3"/>
      <c r="Q17" s="3"/>
    </row>
    <row r="18" ht="17.25" customHeight="1" spans="1:17">
      <c r="A18" s="44" t="s">
        <v>13</v>
      </c>
      <c r="B18" s="45"/>
      <c r="C18" s="45"/>
      <c r="D18" s="45"/>
      <c r="E18" s="45"/>
      <c r="F18" s="45"/>
      <c r="G18" s="45"/>
      <c r="H18" s="41"/>
      <c r="J18" s="3"/>
      <c r="K18" s="3"/>
      <c r="L18" s="3"/>
      <c r="M18" s="3"/>
      <c r="N18" s="3"/>
      <c r="O18" s="3"/>
      <c r="P18" s="3"/>
      <c r="Q18" s="3"/>
    </row>
    <row r="19" s="1" customFormat="1" ht="27.75" customHeight="1" spans="1:58">
      <c r="A19" s="46"/>
      <c r="B19" s="47" t="s">
        <v>14</v>
      </c>
      <c r="C19" s="48">
        <v>200</v>
      </c>
      <c r="D19" s="242">
        <v>7</v>
      </c>
      <c r="E19" s="243">
        <v>7.9</v>
      </c>
      <c r="F19" s="244">
        <v>24.7</v>
      </c>
      <c r="G19" s="113">
        <f>(D19*4)+(E19*9)+(F19*4)</f>
        <v>197.9</v>
      </c>
      <c r="H19" s="53" t="s">
        <v>15</v>
      </c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</row>
    <row r="20" s="1" customFormat="1" customHeight="1" spans="1:58">
      <c r="A20" s="54"/>
      <c r="B20" s="55" t="s">
        <v>16</v>
      </c>
      <c r="C20" s="56">
        <v>200</v>
      </c>
      <c r="D20" s="138">
        <v>0.02</v>
      </c>
      <c r="E20" s="139">
        <v>0</v>
      </c>
      <c r="F20" s="140">
        <v>15</v>
      </c>
      <c r="G20" s="113">
        <f t="shared" ref="G20:G24" si="0">(D20*4)+(E20*9)+(F20*4)</f>
        <v>60.08</v>
      </c>
      <c r="H20" s="60" t="s">
        <v>17</v>
      </c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</row>
    <row r="21" s="1" customFormat="1" customHeight="1" spans="1:58">
      <c r="A21" s="54"/>
      <c r="B21" s="55" t="s">
        <v>18</v>
      </c>
      <c r="C21" s="56">
        <v>10</v>
      </c>
      <c r="D21" s="138">
        <v>2.5</v>
      </c>
      <c r="E21" s="139">
        <v>2.5</v>
      </c>
      <c r="F21" s="140">
        <v>3.23</v>
      </c>
      <c r="G21" s="113">
        <f t="shared" si="0"/>
        <v>45.42</v>
      </c>
      <c r="H21" s="60" t="s">
        <v>19</v>
      </c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</row>
    <row r="22" s="1" customFormat="1" customHeight="1" spans="1:58">
      <c r="A22" s="54"/>
      <c r="B22" s="55" t="s">
        <v>20</v>
      </c>
      <c r="C22" s="56">
        <v>10</v>
      </c>
      <c r="D22" s="138">
        <v>0.01</v>
      </c>
      <c r="E22" s="139">
        <v>7.25</v>
      </c>
      <c r="F22" s="140">
        <v>0.13</v>
      </c>
      <c r="G22" s="113">
        <f t="shared" si="0"/>
        <v>65.81</v>
      </c>
      <c r="H22" s="60" t="s">
        <v>21</v>
      </c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</row>
    <row r="23" s="1" customFormat="1" customHeight="1" spans="1:58">
      <c r="A23" s="61"/>
      <c r="B23" s="55" t="s">
        <v>22</v>
      </c>
      <c r="C23" s="56">
        <v>40</v>
      </c>
      <c r="D23" s="138">
        <v>3.04</v>
      </c>
      <c r="E23" s="139">
        <v>0.4</v>
      </c>
      <c r="F23" s="140">
        <v>24.6</v>
      </c>
      <c r="G23" s="113">
        <f t="shared" si="0"/>
        <v>114.16</v>
      </c>
      <c r="H23" s="62" t="s">
        <v>23</v>
      </c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</row>
    <row r="24" s="1" customFormat="1" customHeight="1" spans="1:58">
      <c r="A24" s="61"/>
      <c r="B24" s="63" t="s">
        <v>24</v>
      </c>
      <c r="C24" s="64">
        <v>100</v>
      </c>
      <c r="D24" s="245">
        <v>0.4</v>
      </c>
      <c r="E24" s="246">
        <v>0.4</v>
      </c>
      <c r="F24" s="247">
        <v>9.8</v>
      </c>
      <c r="G24" s="113">
        <f t="shared" si="0"/>
        <v>44.4</v>
      </c>
      <c r="H24" s="68" t="s">
        <v>23</v>
      </c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</row>
    <row r="25" s="1" customFormat="1" customHeight="1" spans="1:58">
      <c r="A25" s="248" t="s">
        <v>25</v>
      </c>
      <c r="B25" s="249"/>
      <c r="C25" s="71">
        <f>SUM(C19:C24)</f>
        <v>560</v>
      </c>
      <c r="D25" s="250">
        <f t="shared" ref="D25:G25" si="1">SUM(D19:D24)</f>
        <v>12.97</v>
      </c>
      <c r="E25" s="251">
        <f t="shared" si="1"/>
        <v>18.45</v>
      </c>
      <c r="F25" s="252">
        <f t="shared" si="1"/>
        <v>77.46</v>
      </c>
      <c r="G25" s="253">
        <f t="shared" si="1"/>
        <v>527.77</v>
      </c>
      <c r="H25" s="76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</row>
    <row r="26" ht="17.25" customHeight="1" spans="1:17">
      <c r="A26" s="254" t="s">
        <v>26</v>
      </c>
      <c r="B26" s="78"/>
      <c r="C26" s="78"/>
      <c r="D26" s="255"/>
      <c r="E26" s="255"/>
      <c r="F26" s="256"/>
      <c r="G26" s="256"/>
      <c r="H26" s="81"/>
      <c r="I26" s="153"/>
      <c r="J26" s="152"/>
      <c r="K26" s="3"/>
      <c r="L26" s="3"/>
      <c r="M26" s="3"/>
      <c r="N26" s="3"/>
      <c r="O26" s="3"/>
      <c r="P26" s="3"/>
      <c r="Q26" s="3"/>
    </row>
    <row r="27" s="1" customFormat="1" ht="32.25" customHeight="1" spans="1:58">
      <c r="A27" s="61"/>
      <c r="B27" s="82" t="s">
        <v>27</v>
      </c>
      <c r="C27" s="125" t="s">
        <v>28</v>
      </c>
      <c r="D27" s="257">
        <v>1.75</v>
      </c>
      <c r="E27" s="258">
        <v>4.87</v>
      </c>
      <c r="F27" s="259">
        <v>8.47</v>
      </c>
      <c r="G27" s="260">
        <f>(D27*4)+(E27*9)+(F27*4)</f>
        <v>84.71</v>
      </c>
      <c r="H27" s="87" t="s">
        <v>29</v>
      </c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</row>
    <row r="28" s="1" customFormat="1" customHeight="1" spans="1:58">
      <c r="A28" s="61"/>
      <c r="B28" s="55" t="s">
        <v>30</v>
      </c>
      <c r="C28" s="56">
        <v>90</v>
      </c>
      <c r="D28" s="138">
        <v>6.5</v>
      </c>
      <c r="E28" s="139">
        <v>4.4</v>
      </c>
      <c r="F28" s="140">
        <v>7.6</v>
      </c>
      <c r="G28" s="260">
        <v>96</v>
      </c>
      <c r="H28" s="62" t="s">
        <v>31</v>
      </c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</row>
    <row r="29" s="1" customFormat="1" customHeight="1" spans="1:58">
      <c r="A29" s="61"/>
      <c r="B29" s="55" t="s">
        <v>32</v>
      </c>
      <c r="C29" s="56">
        <v>150</v>
      </c>
      <c r="D29" s="138">
        <v>3.64</v>
      </c>
      <c r="E29" s="139">
        <v>5.37</v>
      </c>
      <c r="F29" s="140">
        <v>36.7</v>
      </c>
      <c r="G29" s="260">
        <f t="shared" ref="G28:G33" si="2">(D29*4)+(E29*9)+(F29*4)</f>
        <v>209.69</v>
      </c>
      <c r="H29" s="62" t="s">
        <v>33</v>
      </c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</row>
    <row r="30" s="1" customFormat="1" customHeight="1" spans="1:58">
      <c r="A30" s="61"/>
      <c r="B30" s="55" t="s">
        <v>34</v>
      </c>
      <c r="C30" s="56">
        <v>60</v>
      </c>
      <c r="D30" s="138">
        <v>1.86</v>
      </c>
      <c r="E30" s="139">
        <v>0.12</v>
      </c>
      <c r="F30" s="140">
        <v>3.9</v>
      </c>
      <c r="G30" s="260">
        <f t="shared" si="2"/>
        <v>24.12</v>
      </c>
      <c r="H30" s="62" t="s">
        <v>35</v>
      </c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</row>
    <row r="31" s="1" customFormat="1" customHeight="1" spans="1:58">
      <c r="A31" s="61"/>
      <c r="B31" s="55" t="s">
        <v>36</v>
      </c>
      <c r="C31" s="56" t="s">
        <v>37</v>
      </c>
      <c r="D31" s="138">
        <v>7.34</v>
      </c>
      <c r="E31" s="139">
        <v>2.1</v>
      </c>
      <c r="F31" s="140">
        <v>45.9</v>
      </c>
      <c r="G31" s="260">
        <f t="shared" si="2"/>
        <v>231.86</v>
      </c>
      <c r="H31" s="62" t="s">
        <v>23</v>
      </c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</row>
    <row r="32" s="1" customFormat="1" customHeight="1" spans="1:58">
      <c r="A32" s="88"/>
      <c r="B32" s="89" t="s">
        <v>38</v>
      </c>
      <c r="C32" s="90">
        <v>200</v>
      </c>
      <c r="D32" s="261">
        <v>0.6</v>
      </c>
      <c r="E32" s="262">
        <v>0.09</v>
      </c>
      <c r="F32" s="263">
        <v>17.3</v>
      </c>
      <c r="G32" s="260">
        <f t="shared" si="2"/>
        <v>72.41</v>
      </c>
      <c r="H32" s="68" t="s">
        <v>39</v>
      </c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</row>
    <row r="33" s="1" customFormat="1" customHeight="1" spans="1:58">
      <c r="A33" s="61"/>
      <c r="B33" s="63" t="s">
        <v>24</v>
      </c>
      <c r="C33" s="64">
        <v>100</v>
      </c>
      <c r="D33" s="245">
        <v>0.4</v>
      </c>
      <c r="E33" s="246">
        <v>0.4</v>
      </c>
      <c r="F33" s="247">
        <v>9.8</v>
      </c>
      <c r="G33" s="113">
        <f t="shared" si="2"/>
        <v>44.4</v>
      </c>
      <c r="H33" s="68" t="s">
        <v>23</v>
      </c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</row>
    <row r="34" s="1" customFormat="1" customHeight="1" spans="1:58">
      <c r="A34" s="264" t="s">
        <v>25</v>
      </c>
      <c r="B34" s="265"/>
      <c r="C34" s="95">
        <f>SUM(C28:C32)+275+100</f>
        <v>875</v>
      </c>
      <c r="D34" s="266">
        <f>SUM(D27:D32)</f>
        <v>21.69</v>
      </c>
      <c r="E34" s="267">
        <f t="shared" ref="E34:G34" si="3">SUM(E27:E32)</f>
        <v>16.95</v>
      </c>
      <c r="F34" s="268">
        <f t="shared" si="3"/>
        <v>119.87</v>
      </c>
      <c r="G34" s="269">
        <f t="shared" si="3"/>
        <v>718.79</v>
      </c>
      <c r="H34" s="76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</row>
    <row r="35" s="1" customFormat="1" customHeight="1" spans="1:58">
      <c r="A35" s="270" t="s">
        <v>40</v>
      </c>
      <c r="B35" s="265"/>
      <c r="C35" s="102">
        <f>C25+C34</f>
        <v>1435</v>
      </c>
      <c r="D35" s="271">
        <f>SUM(D34)+E25</f>
        <v>40.14</v>
      </c>
      <c r="E35" s="271">
        <f t="shared" ref="E35:F35" si="4">SUM(E34)+F25</f>
        <v>94.41</v>
      </c>
      <c r="F35" s="272">
        <f t="shared" si="4"/>
        <v>647.64</v>
      </c>
      <c r="G35" s="273">
        <f>G25+G34</f>
        <v>1246.56</v>
      </c>
      <c r="H35" s="76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</row>
    <row r="36" s="1" customFormat="1" customHeight="1" spans="1:58">
      <c r="A36" s="100"/>
      <c r="B36" s="101"/>
      <c r="C36" s="106"/>
      <c r="D36" s="274"/>
      <c r="E36" s="274"/>
      <c r="F36" s="274"/>
      <c r="G36" s="275"/>
      <c r="H36" s="76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</row>
    <row r="37" ht="17.25" customHeight="1" spans="1:17">
      <c r="A37" s="108"/>
      <c r="B37" s="109" t="s">
        <v>41</v>
      </c>
      <c r="C37" s="109"/>
      <c r="D37" s="109"/>
      <c r="E37" s="109"/>
      <c r="F37" s="109"/>
      <c r="G37" s="109"/>
      <c r="H37" s="76"/>
      <c r="I37" s="154"/>
      <c r="J37" s="152"/>
      <c r="K37" s="3"/>
      <c r="L37" s="3"/>
      <c r="M37" s="3"/>
      <c r="N37" s="3"/>
      <c r="O37" s="3"/>
      <c r="P37" s="3"/>
      <c r="Q37" s="3"/>
    </row>
    <row r="38" ht="17.25" customHeight="1" spans="1:17">
      <c r="A38" s="77" t="s">
        <v>13</v>
      </c>
      <c r="B38" s="110"/>
      <c r="C38" s="110"/>
      <c r="D38" s="110"/>
      <c r="E38" s="110"/>
      <c r="F38" s="276"/>
      <c r="G38" s="276"/>
      <c r="H38" s="76"/>
      <c r="I38" s="154"/>
      <c r="J38" s="152"/>
      <c r="K38" s="3"/>
      <c r="L38" s="3"/>
      <c r="M38" s="3"/>
      <c r="N38" s="3"/>
      <c r="O38" s="3"/>
      <c r="P38" s="3"/>
      <c r="Q38" s="3"/>
    </row>
    <row r="39" s="1" customFormat="1" ht="33" customHeight="1" spans="1:58">
      <c r="A39" s="61"/>
      <c r="B39" s="82" t="s">
        <v>42</v>
      </c>
      <c r="C39" s="83">
        <v>160</v>
      </c>
      <c r="D39" s="257">
        <v>12.9</v>
      </c>
      <c r="E39" s="258">
        <v>12.3</v>
      </c>
      <c r="F39" s="259">
        <v>3.7</v>
      </c>
      <c r="G39" s="260">
        <f>(D39*4)+(E39*9)+(F39*4)</f>
        <v>177.1</v>
      </c>
      <c r="H39" s="87" t="s">
        <v>43</v>
      </c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</row>
    <row r="40" s="1" customFormat="1" customHeight="1" spans="1:58">
      <c r="A40" s="115"/>
      <c r="B40" s="55" t="s">
        <v>44</v>
      </c>
      <c r="C40" s="56">
        <v>60</v>
      </c>
      <c r="D40" s="138">
        <v>1.86</v>
      </c>
      <c r="E40" s="139">
        <v>0.12</v>
      </c>
      <c r="F40" s="140">
        <v>3.9</v>
      </c>
      <c r="G40" s="260">
        <f t="shared" ref="G40:G43" si="5">(D40*4)+(E40*9)+(F40*4)</f>
        <v>24.12</v>
      </c>
      <c r="H40" s="187" t="s">
        <v>45</v>
      </c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</row>
    <row r="41" s="1" customFormat="1" customHeight="1" spans="1:58">
      <c r="A41" s="117"/>
      <c r="B41" s="118" t="s">
        <v>46</v>
      </c>
      <c r="C41" s="56">
        <v>200</v>
      </c>
      <c r="D41" s="138">
        <v>4.9</v>
      </c>
      <c r="E41" s="139">
        <v>5</v>
      </c>
      <c r="F41" s="140">
        <v>32.5</v>
      </c>
      <c r="G41" s="260">
        <f t="shared" si="5"/>
        <v>194.6</v>
      </c>
      <c r="H41" s="277" t="s">
        <v>47</v>
      </c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</row>
    <row r="42" s="1" customFormat="1" customHeight="1" spans="1:58">
      <c r="A42" s="61"/>
      <c r="B42" s="55" t="s">
        <v>22</v>
      </c>
      <c r="C42" s="56">
        <v>40</v>
      </c>
      <c r="D42" s="138">
        <v>3.04</v>
      </c>
      <c r="E42" s="139">
        <v>0.4</v>
      </c>
      <c r="F42" s="140">
        <v>24.6</v>
      </c>
      <c r="G42" s="260">
        <f t="shared" si="5"/>
        <v>114.16</v>
      </c>
      <c r="H42" s="62" t="s">
        <v>23</v>
      </c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</row>
    <row r="43" s="1" customFormat="1" customHeight="1" spans="1:58">
      <c r="A43" s="61"/>
      <c r="B43" s="89" t="s">
        <v>24</v>
      </c>
      <c r="C43" s="90">
        <v>100</v>
      </c>
      <c r="D43" s="245">
        <v>0.4</v>
      </c>
      <c r="E43" s="246">
        <v>0.4</v>
      </c>
      <c r="F43" s="247">
        <v>9.8</v>
      </c>
      <c r="G43" s="260">
        <f t="shared" si="5"/>
        <v>44.4</v>
      </c>
      <c r="H43" s="68" t="s">
        <v>23</v>
      </c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  <c r="BE43" s="152"/>
      <c r="BF43" s="152"/>
    </row>
    <row r="44" s="1" customFormat="1" customHeight="1" spans="1:58">
      <c r="A44" s="278" t="s">
        <v>25</v>
      </c>
      <c r="B44" s="279"/>
      <c r="C44" s="71">
        <v>560</v>
      </c>
      <c r="D44" s="250">
        <f t="shared" ref="D44:G44" si="6">SUM(D39:D43)</f>
        <v>23.1</v>
      </c>
      <c r="E44" s="251">
        <f t="shared" si="6"/>
        <v>18.22</v>
      </c>
      <c r="F44" s="252">
        <f t="shared" si="6"/>
        <v>74.5</v>
      </c>
      <c r="G44" s="253">
        <f t="shared" si="6"/>
        <v>554.38</v>
      </c>
      <c r="H44" s="76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152"/>
      <c r="BD44" s="152"/>
      <c r="BE44" s="152"/>
      <c r="BF44" s="152"/>
    </row>
    <row r="45" ht="17.25" customHeight="1" spans="1:17">
      <c r="A45" s="122" t="s">
        <v>26</v>
      </c>
      <c r="B45" s="280"/>
      <c r="C45" s="124"/>
      <c r="D45" s="255"/>
      <c r="E45" s="255"/>
      <c r="F45" s="256"/>
      <c r="G45" s="256"/>
      <c r="H45" s="76"/>
      <c r="I45" s="153"/>
      <c r="J45" s="152"/>
      <c r="K45" s="3"/>
      <c r="L45" s="3"/>
      <c r="M45" s="3"/>
      <c r="N45" s="3"/>
      <c r="O45" s="3"/>
      <c r="P45" s="3"/>
      <c r="Q45" s="3"/>
    </row>
    <row r="46" s="1" customFormat="1" customHeight="1" spans="1:58">
      <c r="A46" s="61"/>
      <c r="B46" s="82" t="s">
        <v>48</v>
      </c>
      <c r="C46" s="83">
        <v>250</v>
      </c>
      <c r="D46" s="257">
        <v>6.2</v>
      </c>
      <c r="E46" s="258">
        <v>5.6</v>
      </c>
      <c r="F46" s="259">
        <v>22.3</v>
      </c>
      <c r="G46" s="260">
        <f>(D46*4)+(E46*9)+(F46*4)</f>
        <v>164.4</v>
      </c>
      <c r="H46" s="87" t="s">
        <v>49</v>
      </c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  <c r="BE46" s="152"/>
      <c r="BF46" s="152"/>
    </row>
    <row r="47" s="1" customFormat="1" customHeight="1" spans="1:58">
      <c r="A47" s="61"/>
      <c r="B47" s="55" t="s">
        <v>50</v>
      </c>
      <c r="C47" s="56">
        <v>90</v>
      </c>
      <c r="D47" s="138">
        <v>16.7</v>
      </c>
      <c r="E47" s="139">
        <v>9.1</v>
      </c>
      <c r="F47" s="140">
        <v>4.5</v>
      </c>
      <c r="G47" s="260">
        <f t="shared" ref="G47:G51" si="7">(D47*4)+(E47*9)+(F47*4)</f>
        <v>166.7</v>
      </c>
      <c r="H47" s="62" t="s">
        <v>51</v>
      </c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</row>
    <row r="48" s="1" customFormat="1" customHeight="1" spans="1:58">
      <c r="A48" s="61"/>
      <c r="B48" s="55" t="s">
        <v>52</v>
      </c>
      <c r="C48" s="56">
        <v>150</v>
      </c>
      <c r="D48" s="138">
        <v>6.3</v>
      </c>
      <c r="E48" s="139">
        <v>4.5</v>
      </c>
      <c r="F48" s="140">
        <v>38.8</v>
      </c>
      <c r="G48" s="260">
        <f t="shared" si="7"/>
        <v>220.9</v>
      </c>
      <c r="H48" s="62" t="s">
        <v>53</v>
      </c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</row>
    <row r="49" s="1" customFormat="1" customHeight="1" spans="1:58">
      <c r="A49" s="61"/>
      <c r="B49" s="55" t="s">
        <v>54</v>
      </c>
      <c r="C49" s="56">
        <v>60</v>
      </c>
      <c r="D49" s="138">
        <v>1</v>
      </c>
      <c r="E49" s="139">
        <v>0.4</v>
      </c>
      <c r="F49" s="140">
        <v>2.3</v>
      </c>
      <c r="G49" s="260">
        <f t="shared" si="7"/>
        <v>16.8</v>
      </c>
      <c r="H49" s="62" t="s">
        <v>55</v>
      </c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</row>
    <row r="50" s="1" customFormat="1" customHeight="1" spans="1:58">
      <c r="A50" s="61"/>
      <c r="B50" s="55" t="s">
        <v>36</v>
      </c>
      <c r="C50" s="56" t="s">
        <v>37</v>
      </c>
      <c r="D50" s="138">
        <v>7.34</v>
      </c>
      <c r="E50" s="139">
        <v>2.1</v>
      </c>
      <c r="F50" s="140">
        <v>45.9</v>
      </c>
      <c r="G50" s="260">
        <f t="shared" si="7"/>
        <v>231.86</v>
      </c>
      <c r="H50" s="62" t="s">
        <v>23</v>
      </c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</row>
    <row r="51" s="1" customFormat="1" customHeight="1" spans="1:58">
      <c r="A51" s="88"/>
      <c r="B51" s="89" t="s">
        <v>56</v>
      </c>
      <c r="C51" s="90">
        <v>200</v>
      </c>
      <c r="D51" s="261">
        <v>0.6</v>
      </c>
      <c r="E51" s="262">
        <v>0.02</v>
      </c>
      <c r="F51" s="263">
        <v>30.4</v>
      </c>
      <c r="G51" s="260">
        <f t="shared" si="7"/>
        <v>124.18</v>
      </c>
      <c r="H51" s="68" t="s">
        <v>57</v>
      </c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</row>
    <row r="52" s="1" customFormat="1" customHeight="1" spans="1:58">
      <c r="A52" s="264" t="s">
        <v>25</v>
      </c>
      <c r="B52" s="265"/>
      <c r="C52" s="127">
        <f>SUM(C46:C51)+100</f>
        <v>850</v>
      </c>
      <c r="D52" s="250">
        <f>SUM(D46:D51)</f>
        <v>38.14</v>
      </c>
      <c r="E52" s="251">
        <f t="shared" ref="E52:G52" si="8">SUM(E46:E51)</f>
        <v>21.72</v>
      </c>
      <c r="F52" s="252">
        <f t="shared" si="8"/>
        <v>144.2</v>
      </c>
      <c r="G52" s="253">
        <f t="shared" si="8"/>
        <v>924.84</v>
      </c>
      <c r="H52" s="76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  <c r="BD52" s="152"/>
      <c r="BE52" s="152"/>
      <c r="BF52" s="152"/>
    </row>
    <row r="53" s="1" customFormat="1" customHeight="1" spans="1:58">
      <c r="A53" s="270" t="s">
        <v>40</v>
      </c>
      <c r="B53" s="265"/>
      <c r="C53" s="130">
        <f>C52+C44</f>
        <v>1410</v>
      </c>
      <c r="D53" s="281">
        <f t="shared" ref="D53:G53" si="9">D52+D44</f>
        <v>61.24</v>
      </c>
      <c r="E53" s="281">
        <f t="shared" si="9"/>
        <v>39.94</v>
      </c>
      <c r="F53" s="282">
        <f t="shared" si="9"/>
        <v>218.7</v>
      </c>
      <c r="G53" s="283">
        <f t="shared" si="9"/>
        <v>1479.22</v>
      </c>
      <c r="H53" s="76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</row>
    <row r="54" s="1" customFormat="1" customHeight="1" spans="1:58">
      <c r="A54" s="100"/>
      <c r="B54" s="101"/>
      <c r="C54" s="106"/>
      <c r="D54" s="274"/>
      <c r="E54" s="274"/>
      <c r="F54" s="274"/>
      <c r="G54" s="275"/>
      <c r="H54" s="76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</row>
    <row r="55" ht="17.25" customHeight="1" spans="1:17">
      <c r="A55" s="134"/>
      <c r="B55" s="135" t="s">
        <v>58</v>
      </c>
      <c r="C55" s="135"/>
      <c r="D55" s="135"/>
      <c r="E55" s="135"/>
      <c r="F55" s="135"/>
      <c r="G55" s="135"/>
      <c r="H55" s="76"/>
      <c r="J55" s="152"/>
      <c r="K55" s="3"/>
      <c r="L55" s="3"/>
      <c r="M55" s="3"/>
      <c r="N55" s="3"/>
      <c r="O55" s="3"/>
      <c r="P55" s="3"/>
      <c r="Q55" s="3"/>
    </row>
    <row r="56" ht="17.25" customHeight="1" spans="1:17">
      <c r="A56" s="77" t="s">
        <v>13</v>
      </c>
      <c r="B56" s="136"/>
      <c r="C56" s="110"/>
      <c r="D56" s="110"/>
      <c r="E56" s="110"/>
      <c r="F56" s="276"/>
      <c r="G56" s="276"/>
      <c r="H56" s="76"/>
      <c r="I56" s="154"/>
      <c r="J56" s="152"/>
      <c r="K56" s="3"/>
      <c r="L56" s="3"/>
      <c r="M56" s="3"/>
      <c r="N56" s="3"/>
      <c r="O56" s="3"/>
      <c r="P56" s="3"/>
      <c r="Q56" s="3"/>
    </row>
    <row r="57" s="1" customFormat="1" customHeight="1" spans="1:58">
      <c r="A57" s="61"/>
      <c r="B57" s="55" t="s">
        <v>59</v>
      </c>
      <c r="C57" s="83">
        <v>90</v>
      </c>
      <c r="D57" s="257">
        <v>11.92</v>
      </c>
      <c r="E57" s="258">
        <v>8.8</v>
      </c>
      <c r="F57" s="259">
        <v>11.64</v>
      </c>
      <c r="G57" s="260">
        <f>(D57*4)+(E57*9)+(F57*4)</f>
        <v>173.44</v>
      </c>
      <c r="H57" s="87" t="s">
        <v>60</v>
      </c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52"/>
    </row>
    <row r="58" s="1" customFormat="1" customHeight="1" spans="1:58">
      <c r="A58" s="61"/>
      <c r="B58" s="55" t="s">
        <v>61</v>
      </c>
      <c r="C58" s="56">
        <v>30</v>
      </c>
      <c r="D58" s="138">
        <v>1.9</v>
      </c>
      <c r="E58" s="139">
        <v>5.2</v>
      </c>
      <c r="F58" s="140">
        <v>5.7</v>
      </c>
      <c r="G58" s="260">
        <f t="shared" ref="G58:G63" si="10">(D58*4)+(E58*9)+(F58*4)</f>
        <v>77.2</v>
      </c>
      <c r="H58" s="62" t="s">
        <v>62</v>
      </c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</row>
    <row r="59" s="1" customFormat="1" customHeight="1" spans="1:58">
      <c r="A59" s="61"/>
      <c r="B59" s="55" t="s">
        <v>63</v>
      </c>
      <c r="C59" s="56">
        <v>150</v>
      </c>
      <c r="D59" s="138">
        <v>1.42</v>
      </c>
      <c r="E59" s="139">
        <v>1.8</v>
      </c>
      <c r="F59" s="140">
        <v>10.3</v>
      </c>
      <c r="G59" s="260">
        <f t="shared" si="10"/>
        <v>63.08</v>
      </c>
      <c r="H59" s="62" t="s">
        <v>64</v>
      </c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2"/>
      <c r="BF59" s="152"/>
    </row>
    <row r="60" s="1" customFormat="1" customHeight="1" spans="1:58">
      <c r="A60" s="61"/>
      <c r="B60" s="55" t="s">
        <v>54</v>
      </c>
      <c r="C60" s="56">
        <v>60</v>
      </c>
      <c r="D60" s="138">
        <v>1</v>
      </c>
      <c r="E60" s="139">
        <v>0.4</v>
      </c>
      <c r="F60" s="140">
        <v>2.3</v>
      </c>
      <c r="G60" s="260">
        <f t="shared" si="10"/>
        <v>16.8</v>
      </c>
      <c r="H60" s="62" t="s">
        <v>65</v>
      </c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2"/>
      <c r="AO60" s="152"/>
      <c r="AP60" s="152"/>
      <c r="AQ60" s="152"/>
      <c r="AR60" s="152"/>
      <c r="AS60" s="152"/>
      <c r="AT60" s="152"/>
      <c r="AU60" s="152"/>
      <c r="AV60" s="152"/>
      <c r="AW60" s="152"/>
      <c r="AX60" s="152"/>
      <c r="AY60" s="152"/>
      <c r="AZ60" s="152"/>
      <c r="BA60" s="152"/>
      <c r="BB60" s="152"/>
      <c r="BC60" s="152"/>
      <c r="BD60" s="152"/>
      <c r="BE60" s="152"/>
      <c r="BF60" s="152"/>
    </row>
    <row r="61" s="1" customFormat="1" customHeight="1" spans="1:58">
      <c r="A61" s="61"/>
      <c r="B61" s="55" t="s">
        <v>22</v>
      </c>
      <c r="C61" s="56">
        <v>40</v>
      </c>
      <c r="D61" s="138">
        <v>3.04</v>
      </c>
      <c r="E61" s="139">
        <v>0.4</v>
      </c>
      <c r="F61" s="140">
        <v>24.6</v>
      </c>
      <c r="G61" s="260">
        <f t="shared" si="10"/>
        <v>114.16</v>
      </c>
      <c r="H61" s="62" t="s">
        <v>23</v>
      </c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152"/>
      <c r="AT61" s="152"/>
      <c r="AU61" s="152"/>
      <c r="AV61" s="152"/>
      <c r="AW61" s="152"/>
      <c r="AX61" s="152"/>
      <c r="AY61" s="152"/>
      <c r="AZ61" s="152"/>
      <c r="BA61" s="152"/>
      <c r="BB61" s="152"/>
      <c r="BC61" s="152"/>
      <c r="BD61" s="152"/>
      <c r="BE61" s="152"/>
      <c r="BF61" s="152"/>
    </row>
    <row r="62" s="1" customFormat="1" ht="33" customHeight="1" spans="1:58">
      <c r="A62" s="61"/>
      <c r="B62" s="137" t="s">
        <v>66</v>
      </c>
      <c r="C62" s="56" t="s">
        <v>67</v>
      </c>
      <c r="D62" s="138">
        <v>0.4</v>
      </c>
      <c r="E62" s="139">
        <v>0.04</v>
      </c>
      <c r="F62" s="140">
        <v>32</v>
      </c>
      <c r="G62" s="260">
        <f t="shared" si="10"/>
        <v>129.96</v>
      </c>
      <c r="H62" s="62" t="s">
        <v>23</v>
      </c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  <c r="AX62" s="152"/>
      <c r="AY62" s="152"/>
      <c r="AZ62" s="152"/>
      <c r="BA62" s="152"/>
      <c r="BB62" s="152"/>
      <c r="BC62" s="152"/>
      <c r="BD62" s="152"/>
      <c r="BE62" s="152"/>
      <c r="BF62" s="152"/>
    </row>
    <row r="63" s="1" customFormat="1" ht="24" customHeight="1" spans="1:58">
      <c r="A63" s="88"/>
      <c r="B63" s="89" t="s">
        <v>68</v>
      </c>
      <c r="C63" s="90">
        <v>200</v>
      </c>
      <c r="D63" s="261">
        <v>0.3</v>
      </c>
      <c r="E63" s="262">
        <v>0.01</v>
      </c>
      <c r="F63" s="263">
        <v>15.2</v>
      </c>
      <c r="G63" s="260">
        <f t="shared" si="10"/>
        <v>62.09</v>
      </c>
      <c r="H63" s="68" t="s">
        <v>69</v>
      </c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</row>
    <row r="64" s="1" customFormat="1" customHeight="1" spans="1:58">
      <c r="A64" s="278" t="s">
        <v>25</v>
      </c>
      <c r="B64" s="284"/>
      <c r="C64" s="142">
        <f>SUM(C57:C63)+40+180+15+7</f>
        <v>812</v>
      </c>
      <c r="D64" s="285">
        <f>SUM(D57:D63)</f>
        <v>19.98</v>
      </c>
      <c r="E64" s="286">
        <f t="shared" ref="E64:G64" si="11">SUM(E57:E63)</f>
        <v>16.65</v>
      </c>
      <c r="F64" s="287">
        <f t="shared" si="11"/>
        <v>101.74</v>
      </c>
      <c r="G64" s="288">
        <f t="shared" si="11"/>
        <v>636.73</v>
      </c>
      <c r="H64" s="76"/>
      <c r="I64" s="152"/>
      <c r="J64" s="152"/>
      <c r="K64" s="152"/>
      <c r="L64" s="152"/>
      <c r="M64" s="152"/>
      <c r="N64" s="152">
        <v>2</v>
      </c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2"/>
      <c r="AK64" s="152"/>
      <c r="AL64" s="152"/>
      <c r="AM64" s="152"/>
      <c r="AN64" s="152"/>
      <c r="AO64" s="152"/>
      <c r="AP64" s="152"/>
      <c r="AQ64" s="152"/>
      <c r="AR64" s="152"/>
      <c r="AS64" s="152"/>
      <c r="AT64" s="152"/>
      <c r="AU64" s="152"/>
      <c r="AV64" s="152"/>
      <c r="AW64" s="152"/>
      <c r="AX64" s="152"/>
      <c r="AY64" s="152"/>
      <c r="AZ64" s="152"/>
      <c r="BA64" s="152"/>
      <c r="BB64" s="152"/>
      <c r="BC64" s="152"/>
      <c r="BD64" s="152"/>
      <c r="BE64" s="152"/>
      <c r="BF64" s="152"/>
    </row>
    <row r="65" ht="17.25" customHeight="1" spans="1:17">
      <c r="A65" s="147" t="s">
        <v>26</v>
      </c>
      <c r="B65" s="289"/>
      <c r="C65" s="124"/>
      <c r="D65" s="255"/>
      <c r="E65" s="255"/>
      <c r="F65" s="256"/>
      <c r="G65" s="256"/>
      <c r="H65" s="76"/>
      <c r="I65" s="153"/>
      <c r="J65" s="152"/>
      <c r="K65" s="3"/>
      <c r="L65" s="3"/>
      <c r="M65" s="3"/>
      <c r="N65" s="3"/>
      <c r="O65" s="3"/>
      <c r="P65" s="3"/>
      <c r="Q65" s="3"/>
    </row>
    <row r="66" s="1" customFormat="1" customHeight="1" spans="1:58">
      <c r="A66" s="160"/>
      <c r="B66" s="161" t="s">
        <v>70</v>
      </c>
      <c r="C66" s="162">
        <v>250</v>
      </c>
      <c r="D66" s="257">
        <v>2.6</v>
      </c>
      <c r="E66" s="258">
        <v>5.3</v>
      </c>
      <c r="F66" s="259">
        <v>14.3</v>
      </c>
      <c r="G66" s="260">
        <f>(D66*4)+(E66*9)+(F66*4)</f>
        <v>115.3</v>
      </c>
      <c r="H66" s="163" t="s">
        <v>71</v>
      </c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2"/>
      <c r="BD66" s="152"/>
      <c r="BE66" s="152"/>
      <c r="BF66" s="152"/>
    </row>
    <row r="67" s="1" customFormat="1" customHeight="1" spans="1:58">
      <c r="A67" s="61"/>
      <c r="B67" s="55" t="s">
        <v>72</v>
      </c>
      <c r="C67" s="56">
        <v>90</v>
      </c>
      <c r="D67" s="138">
        <v>12.4</v>
      </c>
      <c r="E67" s="139">
        <v>9.2</v>
      </c>
      <c r="F67" s="140">
        <v>12.5</v>
      </c>
      <c r="G67" s="260">
        <f t="shared" ref="G67:G71" si="12">(D67*4)+(E67*9)+(F67*4)</f>
        <v>182.4</v>
      </c>
      <c r="H67" s="62" t="s">
        <v>73</v>
      </c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2"/>
      <c r="BF67" s="152"/>
    </row>
    <row r="68" s="1" customFormat="1" ht="21" customHeight="1" spans="1:58">
      <c r="A68" s="61"/>
      <c r="B68" s="55" t="s">
        <v>74</v>
      </c>
      <c r="C68" s="56">
        <v>150</v>
      </c>
      <c r="D68" s="138">
        <v>5.68</v>
      </c>
      <c r="E68" s="139">
        <v>4.36</v>
      </c>
      <c r="F68" s="140">
        <v>27.25</v>
      </c>
      <c r="G68" s="260">
        <f t="shared" si="12"/>
        <v>170.96</v>
      </c>
      <c r="H68" s="62" t="s">
        <v>75</v>
      </c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  <c r="AX68" s="152"/>
      <c r="AY68" s="152"/>
      <c r="AZ68" s="152"/>
      <c r="BA68" s="152"/>
      <c r="BB68" s="152"/>
      <c r="BC68" s="152"/>
      <c r="BD68" s="152"/>
      <c r="BE68" s="152"/>
      <c r="BF68" s="152"/>
    </row>
    <row r="69" s="1" customFormat="1" ht="21" customHeight="1" spans="1:58">
      <c r="A69" s="61"/>
      <c r="B69" s="55" t="s">
        <v>54</v>
      </c>
      <c r="C69" s="56">
        <v>60</v>
      </c>
      <c r="D69" s="138">
        <v>1</v>
      </c>
      <c r="E69" s="139">
        <v>0.4</v>
      </c>
      <c r="F69" s="140">
        <v>2.3</v>
      </c>
      <c r="G69" s="260">
        <f t="shared" si="12"/>
        <v>16.8</v>
      </c>
      <c r="H69" s="62" t="s">
        <v>65</v>
      </c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152"/>
      <c r="AS69" s="152"/>
      <c r="AT69" s="152"/>
      <c r="AU69" s="152"/>
      <c r="AV69" s="152"/>
      <c r="AW69" s="152"/>
      <c r="AX69" s="152"/>
      <c r="AY69" s="152"/>
      <c r="AZ69" s="152"/>
      <c r="BA69" s="152"/>
      <c r="BB69" s="152"/>
      <c r="BC69" s="152"/>
      <c r="BD69" s="152"/>
      <c r="BE69" s="152"/>
      <c r="BF69" s="152"/>
    </row>
    <row r="70" s="1" customFormat="1" customHeight="1" spans="1:58">
      <c r="A70" s="61"/>
      <c r="B70" s="55" t="s">
        <v>36</v>
      </c>
      <c r="C70" s="56" t="s">
        <v>76</v>
      </c>
      <c r="D70" s="138">
        <v>7.34</v>
      </c>
      <c r="E70" s="139">
        <v>2.1</v>
      </c>
      <c r="F70" s="140">
        <v>45.9</v>
      </c>
      <c r="G70" s="260">
        <f t="shared" si="12"/>
        <v>231.86</v>
      </c>
      <c r="H70" s="62" t="s">
        <v>23</v>
      </c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R70" s="152"/>
      <c r="AS70" s="152"/>
      <c r="AT70" s="152"/>
      <c r="AU70" s="152"/>
      <c r="AV70" s="152"/>
      <c r="AW70" s="152"/>
      <c r="AX70" s="152"/>
      <c r="AY70" s="152"/>
      <c r="AZ70" s="152"/>
      <c r="BA70" s="152"/>
      <c r="BB70" s="152"/>
      <c r="BC70" s="152"/>
      <c r="BD70" s="152"/>
      <c r="BE70" s="152"/>
      <c r="BF70" s="152"/>
    </row>
    <row r="71" s="1" customFormat="1" customHeight="1" spans="1:58">
      <c r="A71" s="88"/>
      <c r="B71" s="89" t="s">
        <v>77</v>
      </c>
      <c r="C71" s="90">
        <v>200</v>
      </c>
      <c r="D71" s="261">
        <v>0.2</v>
      </c>
      <c r="E71" s="262">
        <v>0.04</v>
      </c>
      <c r="F71" s="263">
        <v>27.3</v>
      </c>
      <c r="G71" s="260">
        <f t="shared" si="12"/>
        <v>110.36</v>
      </c>
      <c r="H71" s="68" t="s">
        <v>78</v>
      </c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2"/>
      <c r="AK71" s="152"/>
      <c r="AL71" s="152"/>
      <c r="AM71" s="152"/>
      <c r="AN71" s="152"/>
      <c r="AO71" s="152"/>
      <c r="AP71" s="152"/>
      <c r="AQ71" s="152"/>
      <c r="AR71" s="152"/>
      <c r="AS71" s="152"/>
      <c r="AT71" s="152"/>
      <c r="AU71" s="152"/>
      <c r="AV71" s="152"/>
      <c r="AW71" s="152"/>
      <c r="AX71" s="152"/>
      <c r="AY71" s="152"/>
      <c r="AZ71" s="152"/>
      <c r="BA71" s="152"/>
      <c r="BB71" s="152"/>
      <c r="BC71" s="152"/>
      <c r="BD71" s="152"/>
      <c r="BE71" s="152"/>
      <c r="BF71" s="152"/>
    </row>
    <row r="72" s="1" customFormat="1" customHeight="1" spans="1:58">
      <c r="A72" s="264" t="s">
        <v>25</v>
      </c>
      <c r="B72" s="265"/>
      <c r="C72" s="164">
        <f>SUM(C66:C71)+275+100</f>
        <v>1125</v>
      </c>
      <c r="D72" s="290">
        <f t="shared" ref="D72:G72" si="13">SUM(D66:D71)</f>
        <v>29.22</v>
      </c>
      <c r="E72" s="291">
        <f t="shared" si="13"/>
        <v>21.4</v>
      </c>
      <c r="F72" s="292">
        <f t="shared" si="13"/>
        <v>129.55</v>
      </c>
      <c r="G72" s="293">
        <f t="shared" si="13"/>
        <v>827.68</v>
      </c>
      <c r="H72" s="76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  <c r="BA72" s="152"/>
      <c r="BB72" s="152"/>
      <c r="BC72" s="152"/>
      <c r="BD72" s="152"/>
      <c r="BE72" s="152"/>
      <c r="BF72" s="152"/>
    </row>
    <row r="73" s="1" customFormat="1" customHeight="1" spans="1:58">
      <c r="A73" s="270" t="s">
        <v>40</v>
      </c>
      <c r="B73" s="265"/>
      <c r="C73" s="130">
        <f>C72+C64</f>
        <v>1937</v>
      </c>
      <c r="D73" s="281">
        <f t="shared" ref="D73:G73" si="14">D72+D64</f>
        <v>49.2</v>
      </c>
      <c r="E73" s="294">
        <f t="shared" si="14"/>
        <v>38.05</v>
      </c>
      <c r="F73" s="295">
        <f t="shared" si="14"/>
        <v>231.29</v>
      </c>
      <c r="G73" s="283">
        <f t="shared" si="14"/>
        <v>1464.41</v>
      </c>
      <c r="H73" s="76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  <c r="AZ73" s="152"/>
      <c r="BA73" s="152"/>
      <c r="BB73" s="152"/>
      <c r="BC73" s="152"/>
      <c r="BD73" s="152"/>
      <c r="BE73" s="152"/>
      <c r="BF73" s="152"/>
    </row>
    <row r="74" s="1" customFormat="1" customHeight="1" spans="1:58">
      <c r="A74" s="100"/>
      <c r="B74" s="101"/>
      <c r="C74" s="106"/>
      <c r="D74" s="296"/>
      <c r="E74" s="296"/>
      <c r="F74" s="296"/>
      <c r="G74" s="297"/>
      <c r="H74" s="76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  <c r="AC74" s="152"/>
      <c r="AD74" s="152"/>
      <c r="AE74" s="152"/>
      <c r="AF74" s="152"/>
      <c r="AG74" s="152"/>
      <c r="AH74" s="152"/>
      <c r="AI74" s="152"/>
      <c r="AJ74" s="152"/>
      <c r="AK74" s="152"/>
      <c r="AL74" s="152"/>
      <c r="AM74" s="152"/>
      <c r="AN74" s="152"/>
      <c r="AO74" s="152"/>
      <c r="AP74" s="152"/>
      <c r="AQ74" s="152"/>
      <c r="AR74" s="152"/>
      <c r="AS74" s="152"/>
      <c r="AT74" s="152"/>
      <c r="AU74" s="152"/>
      <c r="AV74" s="152"/>
      <c r="AW74" s="152"/>
      <c r="AX74" s="152"/>
      <c r="AY74" s="152"/>
      <c r="AZ74" s="152"/>
      <c r="BA74" s="152"/>
      <c r="BB74" s="152"/>
      <c r="BC74" s="152"/>
      <c r="BD74" s="152"/>
      <c r="BE74" s="152"/>
      <c r="BF74" s="152"/>
    </row>
    <row r="75" ht="17.25" customHeight="1" spans="1:17">
      <c r="A75" s="134"/>
      <c r="B75" s="135" t="s">
        <v>79</v>
      </c>
      <c r="C75" s="135"/>
      <c r="D75" s="135"/>
      <c r="E75" s="135"/>
      <c r="F75" s="135"/>
      <c r="G75" s="135"/>
      <c r="H75" s="76"/>
      <c r="I75" s="152"/>
      <c r="J75" s="152"/>
      <c r="K75" s="3"/>
      <c r="L75" s="3"/>
      <c r="M75" s="3"/>
      <c r="N75" s="3"/>
      <c r="O75" s="3"/>
      <c r="P75" s="3"/>
      <c r="Q75" s="3"/>
    </row>
    <row r="76" ht="17.25" customHeight="1" spans="1:17">
      <c r="A76" s="172" t="s">
        <v>13</v>
      </c>
      <c r="B76" s="173"/>
      <c r="C76" s="110"/>
      <c r="D76" s="173"/>
      <c r="E76" s="173"/>
      <c r="F76" s="298"/>
      <c r="G76" s="298"/>
      <c r="H76" s="76"/>
      <c r="I76" s="152"/>
      <c r="J76" s="152"/>
      <c r="K76" s="3"/>
      <c r="L76" s="3"/>
      <c r="M76" s="3"/>
      <c r="N76" s="3"/>
      <c r="O76" s="3"/>
      <c r="P76" s="3"/>
      <c r="Q76" s="3"/>
    </row>
    <row r="77" s="1" customFormat="1" customHeight="1" spans="1:58">
      <c r="A77" s="175"/>
      <c r="B77" s="176" t="s">
        <v>80</v>
      </c>
      <c r="C77" s="83">
        <v>160</v>
      </c>
      <c r="D77" s="299">
        <v>9.57</v>
      </c>
      <c r="E77" s="300">
        <v>6.49</v>
      </c>
      <c r="F77" s="301">
        <v>20.8</v>
      </c>
      <c r="G77" s="260">
        <f>(D77*4)+(E77*9)+(F77*4)</f>
        <v>179.89</v>
      </c>
      <c r="H77" s="53" t="s">
        <v>81</v>
      </c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  <c r="AM77" s="152"/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2"/>
      <c r="BE77" s="152"/>
      <c r="BF77" s="152"/>
    </row>
    <row r="78" s="1" customFormat="1" customHeight="1" spans="1:58">
      <c r="A78" s="54"/>
      <c r="B78" s="177" t="s">
        <v>82</v>
      </c>
      <c r="C78" s="56">
        <v>15</v>
      </c>
      <c r="D78" s="188">
        <v>1.9</v>
      </c>
      <c r="E78" s="189">
        <v>5.2</v>
      </c>
      <c r="F78" s="190">
        <v>5.7</v>
      </c>
      <c r="G78" s="260">
        <f t="shared" ref="G78:G82" si="15">(D78*4)+(E78*9)+(F78*4)</f>
        <v>77.2</v>
      </c>
      <c r="H78" s="60" t="s">
        <v>83</v>
      </c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  <c r="AC78" s="152"/>
      <c r="AD78" s="152"/>
      <c r="AE78" s="152"/>
      <c r="AF78" s="152"/>
      <c r="AG78" s="152"/>
      <c r="AH78" s="152"/>
      <c r="AI78" s="152"/>
      <c r="AJ78" s="152"/>
      <c r="AK78" s="152"/>
      <c r="AL78" s="152"/>
      <c r="AM78" s="152"/>
      <c r="AN78" s="152"/>
      <c r="AO78" s="152"/>
      <c r="AP78" s="152"/>
      <c r="AQ78" s="152"/>
      <c r="AR78" s="152"/>
      <c r="AS78" s="152"/>
      <c r="AT78" s="152"/>
      <c r="AU78" s="152"/>
      <c r="AV78" s="152"/>
      <c r="AW78" s="152"/>
      <c r="AX78" s="152"/>
      <c r="AY78" s="152"/>
      <c r="AZ78" s="152"/>
      <c r="BA78" s="152"/>
      <c r="BB78" s="152"/>
      <c r="BC78" s="152"/>
      <c r="BD78" s="152"/>
      <c r="BE78" s="152"/>
      <c r="BF78" s="152"/>
    </row>
    <row r="79" s="1" customFormat="1" customHeight="1" spans="1:58">
      <c r="A79" s="54"/>
      <c r="B79" s="177" t="s">
        <v>84</v>
      </c>
      <c r="C79" s="56">
        <v>200</v>
      </c>
      <c r="D79" s="188">
        <v>3.3</v>
      </c>
      <c r="E79" s="189">
        <v>3</v>
      </c>
      <c r="F79" s="190">
        <v>16.6</v>
      </c>
      <c r="G79" s="260">
        <f t="shared" si="15"/>
        <v>106.6</v>
      </c>
      <c r="H79" s="60" t="s">
        <v>85</v>
      </c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2"/>
      <c r="AK79" s="152"/>
      <c r="AL79" s="152"/>
      <c r="AM79" s="152"/>
      <c r="AN79" s="152"/>
      <c r="AO79" s="152"/>
      <c r="AP79" s="152"/>
      <c r="AQ79" s="152"/>
      <c r="AR79" s="152"/>
      <c r="AS79" s="152"/>
      <c r="AT79" s="152"/>
      <c r="AU79" s="152"/>
      <c r="AV79" s="152"/>
      <c r="AW79" s="152"/>
      <c r="AX79" s="152"/>
      <c r="AY79" s="152"/>
      <c r="AZ79" s="152"/>
      <c r="BA79" s="152"/>
      <c r="BB79" s="152"/>
      <c r="BC79" s="152"/>
      <c r="BD79" s="152"/>
      <c r="BE79" s="152"/>
      <c r="BF79" s="152"/>
    </row>
    <row r="80" s="1" customFormat="1" customHeight="1" spans="1:58">
      <c r="A80" s="54"/>
      <c r="B80" s="55" t="s">
        <v>18</v>
      </c>
      <c r="C80" s="56">
        <v>20</v>
      </c>
      <c r="D80" s="138">
        <v>5</v>
      </c>
      <c r="E80" s="139">
        <v>5</v>
      </c>
      <c r="F80" s="140">
        <v>6.46</v>
      </c>
      <c r="G80" s="260">
        <f t="shared" si="15"/>
        <v>90.84</v>
      </c>
      <c r="H80" s="60" t="s">
        <v>19</v>
      </c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  <c r="AJ80" s="152"/>
      <c r="AK80" s="152"/>
      <c r="AL80" s="152"/>
      <c r="AM80" s="152"/>
      <c r="AN80" s="152"/>
      <c r="AO80" s="152"/>
      <c r="AP80" s="152"/>
      <c r="AQ80" s="152"/>
      <c r="AR80" s="152"/>
      <c r="AS80" s="152"/>
      <c r="AT80" s="152"/>
      <c r="AU80" s="152"/>
      <c r="AV80" s="152"/>
      <c r="AW80" s="152"/>
      <c r="AX80" s="152"/>
      <c r="AY80" s="152"/>
      <c r="AZ80" s="152"/>
      <c r="BA80" s="152"/>
      <c r="BB80" s="152"/>
      <c r="BC80" s="152"/>
      <c r="BD80" s="152"/>
      <c r="BE80" s="152"/>
      <c r="BF80" s="152"/>
    </row>
    <row r="81" s="1" customFormat="1" customHeight="1" spans="1:58">
      <c r="A81" s="54"/>
      <c r="B81" s="177" t="s">
        <v>86</v>
      </c>
      <c r="C81" s="56">
        <v>100</v>
      </c>
      <c r="D81" s="245">
        <v>0.4</v>
      </c>
      <c r="E81" s="246">
        <v>0.4</v>
      </c>
      <c r="F81" s="247">
        <v>9.8</v>
      </c>
      <c r="G81" s="260">
        <f t="shared" si="15"/>
        <v>44.4</v>
      </c>
      <c r="H81" s="60" t="s">
        <v>23</v>
      </c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52"/>
      <c r="AJ81" s="152"/>
      <c r="AK81" s="152"/>
      <c r="AL81" s="152"/>
      <c r="AM81" s="152"/>
      <c r="AN81" s="152"/>
      <c r="AO81" s="152"/>
      <c r="AP81" s="152"/>
      <c r="AQ81" s="152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152"/>
      <c r="BD81" s="152"/>
      <c r="BE81" s="152"/>
      <c r="BF81" s="152"/>
    </row>
    <row r="82" s="1" customFormat="1" customHeight="1" spans="1:58">
      <c r="A82" s="54"/>
      <c r="B82" s="178" t="s">
        <v>22</v>
      </c>
      <c r="C82" s="90">
        <v>40</v>
      </c>
      <c r="D82" s="138">
        <v>3.04</v>
      </c>
      <c r="E82" s="139">
        <v>0.4</v>
      </c>
      <c r="F82" s="140">
        <v>24.6</v>
      </c>
      <c r="G82" s="260">
        <f t="shared" si="15"/>
        <v>114.16</v>
      </c>
      <c r="H82" s="179" t="s">
        <v>23</v>
      </c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  <c r="AG82" s="152"/>
      <c r="AH82" s="152"/>
      <c r="AI82" s="152"/>
      <c r="AJ82" s="152"/>
      <c r="AK82" s="152"/>
      <c r="AL82" s="152"/>
      <c r="AM82" s="152"/>
      <c r="AN82" s="152"/>
      <c r="AO82" s="152"/>
      <c r="AP82" s="152"/>
      <c r="AQ82" s="152"/>
      <c r="AR82" s="152"/>
      <c r="AS82" s="152"/>
      <c r="AT82" s="152"/>
      <c r="AU82" s="152"/>
      <c r="AV82" s="152"/>
      <c r="AW82" s="152"/>
      <c r="AX82" s="152"/>
      <c r="AY82" s="152"/>
      <c r="AZ82" s="152"/>
      <c r="BA82" s="152"/>
      <c r="BB82" s="152"/>
      <c r="BC82" s="152"/>
      <c r="BD82" s="152"/>
      <c r="BE82" s="152"/>
      <c r="BF82" s="152"/>
    </row>
    <row r="83" s="1" customFormat="1" customHeight="1" spans="1:58">
      <c r="A83" s="278" t="s">
        <v>25</v>
      </c>
      <c r="B83" s="284"/>
      <c r="C83" s="48">
        <f>SUM(C77:C82)</f>
        <v>535</v>
      </c>
      <c r="D83" s="285">
        <f>SUM(D77:D82)</f>
        <v>23.21</v>
      </c>
      <c r="E83" s="286">
        <f t="shared" ref="E83:G83" si="16">SUM(E77:E82)</f>
        <v>20.49</v>
      </c>
      <c r="F83" s="287">
        <f t="shared" si="16"/>
        <v>83.96</v>
      </c>
      <c r="G83" s="288">
        <f t="shared" si="16"/>
        <v>613.09</v>
      </c>
      <c r="H83" s="180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  <c r="AG83" s="152"/>
      <c r="AH83" s="152"/>
      <c r="AI83" s="152"/>
      <c r="AJ83" s="152"/>
      <c r="AK83" s="152"/>
      <c r="AL83" s="152"/>
      <c r="AM83" s="152"/>
      <c r="AN83" s="152"/>
      <c r="AO83" s="152"/>
      <c r="AP83" s="152"/>
      <c r="AQ83" s="152"/>
      <c r="AR83" s="152"/>
      <c r="AS83" s="152"/>
      <c r="AT83" s="152"/>
      <c r="AU83" s="152"/>
      <c r="AV83" s="152"/>
      <c r="AW83" s="152"/>
      <c r="AX83" s="152"/>
      <c r="AY83" s="152"/>
      <c r="AZ83" s="152"/>
      <c r="BA83" s="152"/>
      <c r="BB83" s="152"/>
      <c r="BC83" s="152"/>
      <c r="BD83" s="152"/>
      <c r="BE83" s="152"/>
      <c r="BF83" s="152"/>
    </row>
    <row r="84" ht="17.25" customHeight="1" spans="1:17">
      <c r="A84" s="147" t="s">
        <v>26</v>
      </c>
      <c r="B84" s="289"/>
      <c r="C84" s="124"/>
      <c r="D84" s="255"/>
      <c r="E84" s="255"/>
      <c r="F84" s="256"/>
      <c r="G84" s="256"/>
      <c r="H84" s="76"/>
      <c r="I84" s="153"/>
      <c r="J84" s="152"/>
      <c r="K84" s="3"/>
      <c r="L84" s="3"/>
      <c r="M84" s="3"/>
      <c r="N84" s="3"/>
      <c r="O84" s="3"/>
      <c r="P84" s="3"/>
      <c r="Q84" s="3"/>
    </row>
    <row r="85" s="1" customFormat="1" customHeight="1" spans="1:58">
      <c r="A85" s="175"/>
      <c r="B85" s="82" t="s">
        <v>87</v>
      </c>
      <c r="C85" s="83">
        <v>250</v>
      </c>
      <c r="D85" s="299">
        <v>1.8</v>
      </c>
      <c r="E85" s="300">
        <v>5.2</v>
      </c>
      <c r="F85" s="301">
        <v>16.4</v>
      </c>
      <c r="G85" s="260">
        <f>(D85*4)+(E85*9)+(F85*4)</f>
        <v>119.6</v>
      </c>
      <c r="H85" s="53" t="s">
        <v>88</v>
      </c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2"/>
      <c r="AJ85" s="152"/>
      <c r="AK85" s="152"/>
      <c r="AL85" s="152"/>
      <c r="AM85" s="152"/>
      <c r="AN85" s="152"/>
      <c r="AO85" s="152"/>
      <c r="AP85" s="152"/>
      <c r="AQ85" s="152"/>
      <c r="AR85" s="152"/>
      <c r="AS85" s="152"/>
      <c r="AT85" s="152"/>
      <c r="AU85" s="152"/>
      <c r="AV85" s="152"/>
      <c r="AW85" s="152"/>
      <c r="AX85" s="152"/>
      <c r="AY85" s="152"/>
      <c r="AZ85" s="152"/>
      <c r="BA85" s="152"/>
      <c r="BB85" s="152"/>
      <c r="BC85" s="152"/>
      <c r="BD85" s="152"/>
      <c r="BE85" s="152"/>
      <c r="BF85" s="152"/>
    </row>
    <row r="86" s="1" customFormat="1" customHeight="1" spans="1:58">
      <c r="A86" s="54"/>
      <c r="B86" s="55" t="s">
        <v>89</v>
      </c>
      <c r="C86" s="56">
        <v>200</v>
      </c>
      <c r="D86" s="188">
        <v>20</v>
      </c>
      <c r="E86" s="189">
        <v>10</v>
      </c>
      <c r="F86" s="190">
        <v>24</v>
      </c>
      <c r="G86" s="260">
        <f t="shared" ref="G86:G89" si="17">(D86*4)+(E86*9)+(F86*4)</f>
        <v>266</v>
      </c>
      <c r="H86" s="60" t="s">
        <v>90</v>
      </c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2"/>
      <c r="AF86" s="152"/>
      <c r="AG86" s="152"/>
      <c r="AH86" s="152"/>
      <c r="AI86" s="152"/>
      <c r="AJ86" s="152"/>
      <c r="AK86" s="152"/>
      <c r="AL86" s="152"/>
      <c r="AM86" s="152"/>
      <c r="AN86" s="152"/>
      <c r="AO86" s="152"/>
      <c r="AP86" s="152"/>
      <c r="AQ86" s="152"/>
      <c r="AR86" s="152"/>
      <c r="AS86" s="152"/>
      <c r="AT86" s="152"/>
      <c r="AU86" s="152"/>
      <c r="AV86" s="152"/>
      <c r="AW86" s="152"/>
      <c r="AX86" s="152"/>
      <c r="AY86" s="152"/>
      <c r="AZ86" s="152"/>
      <c r="BA86" s="152"/>
      <c r="BB86" s="152"/>
      <c r="BC86" s="152"/>
      <c r="BD86" s="152"/>
      <c r="BE86" s="152"/>
      <c r="BF86" s="152"/>
    </row>
    <row r="87" s="1" customFormat="1" customHeight="1" spans="1:58">
      <c r="A87" s="54"/>
      <c r="B87" s="55" t="s">
        <v>91</v>
      </c>
      <c r="C87" s="56">
        <v>60</v>
      </c>
      <c r="D87" s="138">
        <v>0.8</v>
      </c>
      <c r="E87" s="139">
        <v>5</v>
      </c>
      <c r="F87" s="140">
        <v>1.79</v>
      </c>
      <c r="G87" s="260">
        <f t="shared" si="17"/>
        <v>55.36</v>
      </c>
      <c r="H87" s="60" t="s">
        <v>92</v>
      </c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  <c r="AA87" s="152"/>
      <c r="AB87" s="152"/>
      <c r="AC87" s="152"/>
      <c r="AD87" s="152"/>
      <c r="AE87" s="152"/>
      <c r="AF87" s="152"/>
      <c r="AG87" s="152"/>
      <c r="AH87" s="152"/>
      <c r="AI87" s="152"/>
      <c r="AJ87" s="152"/>
      <c r="AK87" s="152"/>
      <c r="AL87" s="152"/>
      <c r="AM87" s="152"/>
      <c r="AN87" s="152"/>
      <c r="AO87" s="152"/>
      <c r="AP87" s="152"/>
      <c r="AQ87" s="152"/>
      <c r="AR87" s="152"/>
      <c r="AS87" s="152"/>
      <c r="AT87" s="152"/>
      <c r="AU87" s="152"/>
      <c r="AV87" s="152"/>
      <c r="AW87" s="152"/>
      <c r="AX87" s="152"/>
      <c r="AY87" s="152"/>
      <c r="AZ87" s="152"/>
      <c r="BA87" s="152"/>
      <c r="BB87" s="152"/>
      <c r="BC87" s="152"/>
      <c r="BD87" s="152"/>
      <c r="BE87" s="152"/>
      <c r="BF87" s="152"/>
    </row>
    <row r="88" s="1" customFormat="1" customHeight="1" spans="1:58">
      <c r="A88" s="54"/>
      <c r="B88" s="55" t="s">
        <v>36</v>
      </c>
      <c r="C88" s="56" t="s">
        <v>37</v>
      </c>
      <c r="D88" s="138">
        <v>7.34</v>
      </c>
      <c r="E88" s="139">
        <v>2.1</v>
      </c>
      <c r="F88" s="140">
        <v>45.9</v>
      </c>
      <c r="G88" s="260">
        <f t="shared" si="17"/>
        <v>231.86</v>
      </c>
      <c r="H88" s="60" t="s">
        <v>23</v>
      </c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152"/>
      <c r="W88" s="152"/>
      <c r="X88" s="152"/>
      <c r="Y88" s="152"/>
      <c r="Z88" s="152"/>
      <c r="AA88" s="152"/>
      <c r="AB88" s="152"/>
      <c r="AC88" s="152"/>
      <c r="AD88" s="152"/>
      <c r="AE88" s="152"/>
      <c r="AF88" s="152"/>
      <c r="AG88" s="152"/>
      <c r="AH88" s="152"/>
      <c r="AI88" s="152"/>
      <c r="AJ88" s="152"/>
      <c r="AK88" s="152"/>
      <c r="AL88" s="152"/>
      <c r="AM88" s="152"/>
      <c r="AN88" s="152"/>
      <c r="AO88" s="152"/>
      <c r="AP88" s="152"/>
      <c r="AQ88" s="152"/>
      <c r="AR88" s="152"/>
      <c r="AS88" s="152"/>
      <c r="AT88" s="152"/>
      <c r="AU88" s="152"/>
      <c r="AV88" s="152"/>
      <c r="AW88" s="152"/>
      <c r="AX88" s="152"/>
      <c r="AY88" s="152"/>
      <c r="AZ88" s="152"/>
      <c r="BA88" s="152"/>
      <c r="BB88" s="152"/>
      <c r="BC88" s="152"/>
      <c r="BD88" s="152"/>
      <c r="BE88" s="152"/>
      <c r="BF88" s="152"/>
    </row>
    <row r="89" s="1" customFormat="1" customHeight="1" spans="1:58">
      <c r="A89" s="181"/>
      <c r="B89" s="89" t="s">
        <v>93</v>
      </c>
      <c r="C89" s="90">
        <v>200</v>
      </c>
      <c r="D89" s="261">
        <v>0.6</v>
      </c>
      <c r="E89" s="262">
        <v>0.02</v>
      </c>
      <c r="F89" s="263">
        <v>30.4</v>
      </c>
      <c r="G89" s="260">
        <f t="shared" si="17"/>
        <v>124.18</v>
      </c>
      <c r="H89" s="179" t="s">
        <v>94</v>
      </c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2"/>
      <c r="AF89" s="152"/>
      <c r="AG89" s="152"/>
      <c r="AH89" s="152"/>
      <c r="AI89" s="152"/>
      <c r="AJ89" s="152"/>
      <c r="AK89" s="152"/>
      <c r="AL89" s="152"/>
      <c r="AM89" s="152"/>
      <c r="AN89" s="152"/>
      <c r="AO89" s="152"/>
      <c r="AP89" s="152"/>
      <c r="AQ89" s="152"/>
      <c r="AR89" s="152"/>
      <c r="AS89" s="152"/>
      <c r="AT89" s="152"/>
      <c r="AU89" s="152"/>
      <c r="AV89" s="152"/>
      <c r="AW89" s="152"/>
      <c r="AX89" s="152"/>
      <c r="AY89" s="152"/>
      <c r="AZ89" s="152"/>
      <c r="BA89" s="152"/>
      <c r="BB89" s="152"/>
      <c r="BC89" s="152"/>
      <c r="BD89" s="152"/>
      <c r="BE89" s="152"/>
      <c r="BF89" s="152"/>
    </row>
    <row r="90" s="1" customFormat="1" customHeight="1" spans="1:58">
      <c r="A90" s="264" t="s">
        <v>25</v>
      </c>
      <c r="B90" s="265"/>
      <c r="C90" s="182">
        <f>SUM(C85:C89)+100</f>
        <v>810</v>
      </c>
      <c r="D90" s="302">
        <f>SUM(D85:D89)</f>
        <v>30.54</v>
      </c>
      <c r="E90" s="303">
        <f t="shared" ref="E90:G90" si="18">SUM(E85:E89)</f>
        <v>22.32</v>
      </c>
      <c r="F90" s="304">
        <f t="shared" si="18"/>
        <v>118.49</v>
      </c>
      <c r="G90" s="305">
        <f t="shared" si="18"/>
        <v>797</v>
      </c>
      <c r="H90" s="76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  <c r="AC90" s="152"/>
      <c r="AD90" s="152"/>
      <c r="AE90" s="152"/>
      <c r="AF90" s="152"/>
      <c r="AG90" s="152"/>
      <c r="AH90" s="152"/>
      <c r="AI90" s="152"/>
      <c r="AJ90" s="152"/>
      <c r="AK90" s="152"/>
      <c r="AL90" s="152"/>
      <c r="AM90" s="152"/>
      <c r="AN90" s="152"/>
      <c r="AO90" s="152"/>
      <c r="AP90" s="152"/>
      <c r="AQ90" s="152"/>
      <c r="AR90" s="152"/>
      <c r="AS90" s="152"/>
      <c r="AT90" s="152"/>
      <c r="AU90" s="152"/>
      <c r="AV90" s="152"/>
      <c r="AW90" s="152"/>
      <c r="AX90" s="152"/>
      <c r="AY90" s="152"/>
      <c r="AZ90" s="152"/>
      <c r="BA90" s="152"/>
      <c r="BB90" s="152"/>
      <c r="BC90" s="152"/>
      <c r="BD90" s="152"/>
      <c r="BE90" s="152"/>
      <c r="BF90" s="152"/>
    </row>
    <row r="91" s="1" customFormat="1" customHeight="1" spans="1:58">
      <c r="A91" s="270" t="s">
        <v>40</v>
      </c>
      <c r="B91" s="265"/>
      <c r="C91" s="164">
        <f>C90+C83</f>
        <v>1345</v>
      </c>
      <c r="D91" s="306">
        <f t="shared" ref="D91:G91" si="19">D90+D83</f>
        <v>53.75</v>
      </c>
      <c r="E91" s="307">
        <f t="shared" si="19"/>
        <v>42.81</v>
      </c>
      <c r="F91" s="308">
        <f t="shared" si="19"/>
        <v>202.45</v>
      </c>
      <c r="G91" s="309">
        <f t="shared" si="19"/>
        <v>1410.09</v>
      </c>
      <c r="H91" s="81"/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52"/>
      <c r="Z91" s="152"/>
      <c r="AA91" s="152"/>
      <c r="AB91" s="152"/>
      <c r="AC91" s="152"/>
      <c r="AD91" s="152"/>
      <c r="AE91" s="152"/>
      <c r="AF91" s="152"/>
      <c r="AG91" s="152"/>
      <c r="AH91" s="152"/>
      <c r="AI91" s="152"/>
      <c r="AJ91" s="152"/>
      <c r="AK91" s="152"/>
      <c r="AL91" s="152"/>
      <c r="AM91" s="152"/>
      <c r="AN91" s="152"/>
      <c r="AO91" s="152"/>
      <c r="AP91" s="152"/>
      <c r="AQ91" s="152"/>
      <c r="AR91" s="152"/>
      <c r="AS91" s="152"/>
      <c r="AT91" s="152"/>
      <c r="AU91" s="152"/>
      <c r="AV91" s="152"/>
      <c r="AW91" s="152"/>
      <c r="AX91" s="152"/>
      <c r="AY91" s="152"/>
      <c r="AZ91" s="152"/>
      <c r="BA91" s="152"/>
      <c r="BB91" s="152"/>
      <c r="BC91" s="152"/>
      <c r="BD91" s="152"/>
      <c r="BE91" s="152"/>
      <c r="BF91" s="152"/>
    </row>
    <row r="92" s="1" customFormat="1" customHeight="1" spans="1:58">
      <c r="A92" s="100"/>
      <c r="B92" s="101"/>
      <c r="C92" s="106"/>
      <c r="D92" s="296"/>
      <c r="E92" s="296"/>
      <c r="F92" s="296"/>
      <c r="G92" s="297"/>
      <c r="H92" s="76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2"/>
      <c r="AA92" s="152"/>
      <c r="AB92" s="152"/>
      <c r="AC92" s="152"/>
      <c r="AD92" s="152"/>
      <c r="AE92" s="152"/>
      <c r="AF92" s="152"/>
      <c r="AG92" s="152"/>
      <c r="AH92" s="152"/>
      <c r="AI92" s="152"/>
      <c r="AJ92" s="152"/>
      <c r="AK92" s="152"/>
      <c r="AL92" s="152"/>
      <c r="AM92" s="152"/>
      <c r="AN92" s="152"/>
      <c r="AO92" s="152"/>
      <c r="AP92" s="152"/>
      <c r="AQ92" s="152"/>
      <c r="AR92" s="152"/>
      <c r="AS92" s="152"/>
      <c r="AT92" s="152"/>
      <c r="AU92" s="152"/>
      <c r="AV92" s="152"/>
      <c r="AW92" s="152"/>
      <c r="AX92" s="152"/>
      <c r="AY92" s="152"/>
      <c r="AZ92" s="152"/>
      <c r="BA92" s="152"/>
      <c r="BB92" s="152"/>
      <c r="BC92" s="152"/>
      <c r="BD92" s="152"/>
      <c r="BE92" s="152"/>
      <c r="BF92" s="152"/>
    </row>
    <row r="93" ht="17.25" customHeight="1" spans="1:17">
      <c r="A93" s="134"/>
      <c r="B93" s="109" t="s">
        <v>95</v>
      </c>
      <c r="C93" s="109"/>
      <c r="D93" s="109"/>
      <c r="E93" s="109"/>
      <c r="F93" s="109"/>
      <c r="G93" s="109"/>
      <c r="H93" s="76"/>
      <c r="J93" s="152"/>
      <c r="K93" s="3"/>
      <c r="L93" s="3"/>
      <c r="M93" s="3"/>
      <c r="N93" s="3"/>
      <c r="O93" s="3"/>
      <c r="P93" s="3"/>
      <c r="Q93" s="3"/>
    </row>
    <row r="94" ht="17.25" customHeight="1" spans="1:17">
      <c r="A94" s="183" t="s">
        <v>13</v>
      </c>
      <c r="B94" s="184"/>
      <c r="C94" s="110"/>
      <c r="D94" s="173"/>
      <c r="E94" s="173"/>
      <c r="F94" s="298"/>
      <c r="G94" s="298"/>
      <c r="H94" s="76"/>
      <c r="J94" s="152"/>
      <c r="K94" s="3"/>
      <c r="L94" s="3"/>
      <c r="M94" s="3"/>
      <c r="N94" s="3"/>
      <c r="O94" s="3"/>
      <c r="P94" s="3"/>
      <c r="Q94" s="3"/>
    </row>
    <row r="95" s="1" customFormat="1" customHeight="1" spans="1:58">
      <c r="A95" s="185"/>
      <c r="B95" s="177" t="s">
        <v>96</v>
      </c>
      <c r="C95" s="83">
        <v>90</v>
      </c>
      <c r="D95" s="299">
        <v>20.63</v>
      </c>
      <c r="E95" s="300">
        <v>16.3</v>
      </c>
      <c r="F95" s="301">
        <v>5.24</v>
      </c>
      <c r="G95" s="260">
        <f>(D95*4)+(E95*9)+(F95*4)</f>
        <v>250.18</v>
      </c>
      <c r="H95" s="186" t="s">
        <v>97</v>
      </c>
      <c r="I95" s="152"/>
      <c r="J95" s="152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52"/>
      <c r="Z95" s="152"/>
      <c r="AA95" s="152"/>
      <c r="AB95" s="152"/>
      <c r="AC95" s="152"/>
      <c r="AD95" s="152"/>
      <c r="AE95" s="152"/>
      <c r="AF95" s="152"/>
      <c r="AG95" s="152"/>
      <c r="AH95" s="152"/>
      <c r="AI95" s="152"/>
      <c r="AJ95" s="152"/>
      <c r="AK95" s="152"/>
      <c r="AL95" s="152"/>
      <c r="AM95" s="152"/>
      <c r="AN95" s="152"/>
      <c r="AO95" s="152"/>
      <c r="AP95" s="152"/>
      <c r="AQ95" s="152"/>
      <c r="AR95" s="152"/>
      <c r="AS95" s="152"/>
      <c r="AT95" s="152"/>
      <c r="AU95" s="152"/>
      <c r="AV95" s="152"/>
      <c r="AW95" s="152"/>
      <c r="AX95" s="152"/>
      <c r="AY95" s="152"/>
      <c r="AZ95" s="152"/>
      <c r="BA95" s="152"/>
      <c r="BB95" s="152"/>
      <c r="BC95" s="152"/>
      <c r="BD95" s="152"/>
      <c r="BE95" s="152"/>
      <c r="BF95" s="152"/>
    </row>
    <row r="96" s="1" customFormat="1" customHeight="1" spans="1:58">
      <c r="A96" s="115"/>
      <c r="B96" s="55" t="s">
        <v>54</v>
      </c>
      <c r="C96" s="56">
        <v>60</v>
      </c>
      <c r="D96" s="138">
        <v>1</v>
      </c>
      <c r="E96" s="139">
        <v>0.4</v>
      </c>
      <c r="F96" s="140">
        <v>2.3</v>
      </c>
      <c r="G96" s="260">
        <f t="shared" ref="G96:G100" si="20">(D96*4)+(E96*9)+(F96*4)</f>
        <v>16.8</v>
      </c>
      <c r="H96" s="187" t="s">
        <v>65</v>
      </c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  <c r="AA96" s="152"/>
      <c r="AB96" s="152"/>
      <c r="AC96" s="152"/>
      <c r="AD96" s="152"/>
      <c r="AE96" s="152"/>
      <c r="AF96" s="152"/>
      <c r="AG96" s="152"/>
      <c r="AH96" s="152"/>
      <c r="AI96" s="152"/>
      <c r="AJ96" s="152"/>
      <c r="AK96" s="152"/>
      <c r="AL96" s="152"/>
      <c r="AM96" s="152"/>
      <c r="AN96" s="152"/>
      <c r="AO96" s="152"/>
      <c r="AP96" s="152"/>
      <c r="AQ96" s="152"/>
      <c r="AR96" s="152"/>
      <c r="AS96" s="152"/>
      <c r="AT96" s="152"/>
      <c r="AU96" s="152"/>
      <c r="AV96" s="152"/>
      <c r="AW96" s="152"/>
      <c r="AX96" s="152"/>
      <c r="AY96" s="152"/>
      <c r="AZ96" s="152"/>
      <c r="BA96" s="152"/>
      <c r="BB96" s="152"/>
      <c r="BC96" s="152"/>
      <c r="BD96" s="152"/>
      <c r="BE96" s="152"/>
      <c r="BF96" s="152"/>
    </row>
    <row r="97" s="1" customFormat="1" customHeight="1" spans="1:58">
      <c r="A97" s="115"/>
      <c r="B97" s="177" t="s">
        <v>98</v>
      </c>
      <c r="C97" s="56">
        <v>150</v>
      </c>
      <c r="D97" s="188">
        <v>4.5</v>
      </c>
      <c r="E97" s="189">
        <v>5.1</v>
      </c>
      <c r="F97" s="190">
        <v>21.9</v>
      </c>
      <c r="G97" s="260">
        <f t="shared" si="20"/>
        <v>151.5</v>
      </c>
      <c r="H97" s="187" t="s">
        <v>99</v>
      </c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52"/>
      <c r="AM97" s="152"/>
      <c r="AN97" s="152"/>
      <c r="AO97" s="152"/>
      <c r="AP97" s="152"/>
      <c r="AQ97" s="152"/>
      <c r="AR97" s="152"/>
      <c r="AS97" s="152"/>
      <c r="AT97" s="152"/>
      <c r="AU97" s="152"/>
      <c r="AV97" s="152"/>
      <c r="AW97" s="152"/>
      <c r="AX97" s="152"/>
      <c r="AY97" s="152"/>
      <c r="AZ97" s="152"/>
      <c r="BA97" s="152"/>
      <c r="BB97" s="152"/>
      <c r="BC97" s="152"/>
      <c r="BD97" s="152"/>
      <c r="BE97" s="152"/>
      <c r="BF97" s="152"/>
    </row>
    <row r="98" s="1" customFormat="1" customHeight="1" spans="1:58">
      <c r="A98" s="115"/>
      <c r="B98" s="177" t="s">
        <v>68</v>
      </c>
      <c r="C98" s="56">
        <v>200</v>
      </c>
      <c r="D98" s="138">
        <v>0.3</v>
      </c>
      <c r="E98" s="139">
        <v>0</v>
      </c>
      <c r="F98" s="140">
        <v>15</v>
      </c>
      <c r="G98" s="260">
        <f t="shared" si="20"/>
        <v>61.2</v>
      </c>
      <c r="H98" s="187" t="s">
        <v>100</v>
      </c>
      <c r="I98" s="152"/>
      <c r="J98" s="152"/>
      <c r="K98" s="152"/>
      <c r="L98" s="152"/>
      <c r="M98" s="152"/>
      <c r="N98" s="152"/>
      <c r="O98" s="152"/>
      <c r="P98" s="152"/>
      <c r="Q98" s="152"/>
      <c r="R98" s="152"/>
      <c r="S98" s="152"/>
      <c r="T98" s="152"/>
      <c r="U98" s="152"/>
      <c r="V98" s="152"/>
      <c r="W98" s="152"/>
      <c r="X98" s="152"/>
      <c r="Y98" s="152"/>
      <c r="Z98" s="152"/>
      <c r="AA98" s="152"/>
      <c r="AB98" s="152"/>
      <c r="AC98" s="152"/>
      <c r="AD98" s="152"/>
      <c r="AE98" s="152"/>
      <c r="AF98" s="152"/>
      <c r="AG98" s="152"/>
      <c r="AH98" s="152"/>
      <c r="AI98" s="152"/>
      <c r="AJ98" s="152"/>
      <c r="AK98" s="152"/>
      <c r="AL98" s="152"/>
      <c r="AM98" s="152"/>
      <c r="AN98" s="152"/>
      <c r="AO98" s="152"/>
      <c r="AP98" s="152"/>
      <c r="AQ98" s="152"/>
      <c r="AR98" s="152"/>
      <c r="AS98" s="152"/>
      <c r="AT98" s="152"/>
      <c r="AU98" s="152"/>
      <c r="AV98" s="152"/>
      <c r="AW98" s="152"/>
      <c r="AX98" s="152"/>
      <c r="AY98" s="152"/>
      <c r="AZ98" s="152"/>
      <c r="BA98" s="152"/>
      <c r="BB98" s="152"/>
      <c r="BC98" s="152"/>
      <c r="BD98" s="152"/>
      <c r="BE98" s="152"/>
      <c r="BF98" s="152"/>
    </row>
    <row r="99" s="1" customFormat="1" customHeight="1" spans="1:58">
      <c r="A99" s="115"/>
      <c r="B99" s="177" t="s">
        <v>22</v>
      </c>
      <c r="C99" s="191">
        <v>40</v>
      </c>
      <c r="D99" s="138">
        <v>3.04</v>
      </c>
      <c r="E99" s="139">
        <v>0.4</v>
      </c>
      <c r="F99" s="140">
        <v>24.6</v>
      </c>
      <c r="G99" s="260">
        <f t="shared" si="20"/>
        <v>114.16</v>
      </c>
      <c r="H99" s="187" t="s">
        <v>23</v>
      </c>
      <c r="I99" s="152"/>
      <c r="J99" s="152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  <c r="AG99" s="152"/>
      <c r="AH99" s="152"/>
      <c r="AI99" s="152"/>
      <c r="AJ99" s="152"/>
      <c r="AK99" s="152"/>
      <c r="AL99" s="152"/>
      <c r="AM99" s="152"/>
      <c r="AN99" s="152"/>
      <c r="AO99" s="152"/>
      <c r="AP99" s="152"/>
      <c r="AQ99" s="152"/>
      <c r="AR99" s="152"/>
      <c r="AS99" s="152"/>
      <c r="AT99" s="152"/>
      <c r="AU99" s="152"/>
      <c r="AV99" s="152"/>
      <c r="AW99" s="152"/>
      <c r="AX99" s="152"/>
      <c r="AY99" s="152"/>
      <c r="AZ99" s="152"/>
      <c r="BA99" s="152"/>
      <c r="BB99" s="152"/>
      <c r="BC99" s="152"/>
      <c r="BD99" s="152"/>
      <c r="BE99" s="152"/>
      <c r="BF99" s="152"/>
    </row>
    <row r="100" s="1" customFormat="1" customHeight="1" spans="1:58">
      <c r="A100" s="192"/>
      <c r="B100" s="193" t="s">
        <v>101</v>
      </c>
      <c r="C100" s="194">
        <v>40</v>
      </c>
      <c r="D100" s="310">
        <v>6.35</v>
      </c>
      <c r="E100" s="311">
        <v>1.38</v>
      </c>
      <c r="F100" s="312">
        <v>36.54</v>
      </c>
      <c r="G100" s="260">
        <f t="shared" si="20"/>
        <v>183.98</v>
      </c>
      <c r="H100" s="195" t="s">
        <v>102</v>
      </c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52"/>
      <c r="Y100" s="152"/>
      <c r="Z100" s="152"/>
      <c r="AA100" s="152"/>
      <c r="AB100" s="152"/>
      <c r="AC100" s="152"/>
      <c r="AD100" s="152"/>
      <c r="AE100" s="152"/>
      <c r="AF100" s="152"/>
      <c r="AG100" s="152"/>
      <c r="AH100" s="152"/>
      <c r="AI100" s="152"/>
      <c r="AJ100" s="152"/>
      <c r="AK100" s="152"/>
      <c r="AL100" s="152"/>
      <c r="AM100" s="152"/>
      <c r="AN100" s="152"/>
      <c r="AO100" s="152"/>
      <c r="AP100" s="152"/>
      <c r="AQ100" s="152"/>
      <c r="AR100" s="152"/>
      <c r="AS100" s="152"/>
      <c r="AT100" s="152"/>
      <c r="AU100" s="152"/>
      <c r="AV100" s="152"/>
      <c r="AW100" s="152"/>
      <c r="AX100" s="152"/>
      <c r="AY100" s="152"/>
      <c r="AZ100" s="152"/>
      <c r="BA100" s="152"/>
      <c r="BB100" s="152"/>
      <c r="BC100" s="152"/>
      <c r="BD100" s="152"/>
      <c r="BE100" s="152"/>
      <c r="BF100" s="152"/>
    </row>
    <row r="101" s="1" customFormat="1" customHeight="1" spans="1:58">
      <c r="A101" s="278" t="s">
        <v>25</v>
      </c>
      <c r="B101" s="284"/>
      <c r="C101" s="48">
        <f>SUM(C95:C100)+180+15+7</f>
        <v>782</v>
      </c>
      <c r="D101" s="285">
        <f>SUM(D95:D100)</f>
        <v>35.82</v>
      </c>
      <c r="E101" s="286">
        <f t="shared" ref="E101:G101" si="21">SUM(E95:E100)</f>
        <v>23.58</v>
      </c>
      <c r="F101" s="287">
        <f t="shared" si="21"/>
        <v>105.58</v>
      </c>
      <c r="G101" s="313">
        <f t="shared" si="21"/>
        <v>777.82</v>
      </c>
      <c r="H101" s="41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  <c r="Y101" s="152"/>
      <c r="Z101" s="152"/>
      <c r="AA101" s="152"/>
      <c r="AB101" s="152"/>
      <c r="AC101" s="152"/>
      <c r="AD101" s="152"/>
      <c r="AE101" s="152"/>
      <c r="AF101" s="152"/>
      <c r="AG101" s="152"/>
      <c r="AH101" s="152"/>
      <c r="AI101" s="152"/>
      <c r="AJ101" s="152"/>
      <c r="AK101" s="152"/>
      <c r="AL101" s="152"/>
      <c r="AM101" s="152"/>
      <c r="AN101" s="152"/>
      <c r="AO101" s="152"/>
      <c r="AP101" s="152"/>
      <c r="AQ101" s="152"/>
      <c r="AR101" s="152"/>
      <c r="AS101" s="152"/>
      <c r="AT101" s="152"/>
      <c r="AU101" s="152"/>
      <c r="AV101" s="152"/>
      <c r="AW101" s="152"/>
      <c r="AX101" s="152"/>
      <c r="AY101" s="152"/>
      <c r="AZ101" s="152"/>
      <c r="BA101" s="152"/>
      <c r="BB101" s="152"/>
      <c r="BC101" s="152"/>
      <c r="BD101" s="152"/>
      <c r="BE101" s="152"/>
      <c r="BF101" s="152"/>
    </row>
    <row r="102" ht="17.25" customHeight="1" spans="1:17">
      <c r="A102" s="147" t="s">
        <v>26</v>
      </c>
      <c r="B102" s="289"/>
      <c r="C102" s="124"/>
      <c r="D102" s="255"/>
      <c r="E102" s="255"/>
      <c r="F102" s="256"/>
      <c r="G102" s="256"/>
      <c r="H102" s="76"/>
      <c r="I102" s="153"/>
      <c r="J102" s="152"/>
      <c r="K102" s="3"/>
      <c r="L102" s="3"/>
      <c r="M102" s="3"/>
      <c r="N102" s="3"/>
      <c r="O102" s="3"/>
      <c r="P102" s="3"/>
      <c r="Q102" s="3"/>
    </row>
    <row r="103" s="1" customFormat="1" customHeight="1" spans="1:58">
      <c r="A103" s="196"/>
      <c r="B103" s="82" t="s">
        <v>103</v>
      </c>
      <c r="C103" s="83">
        <v>250</v>
      </c>
      <c r="D103" s="299">
        <v>1.52</v>
      </c>
      <c r="E103" s="300">
        <v>5.4</v>
      </c>
      <c r="F103" s="301">
        <v>8.6</v>
      </c>
      <c r="G103" s="260">
        <f>(D103*4)+(E103*9)+(F103*4)</f>
        <v>89.08</v>
      </c>
      <c r="H103" s="197" t="s">
        <v>104</v>
      </c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2"/>
      <c r="AA103" s="152"/>
      <c r="AB103" s="152"/>
      <c r="AC103" s="152"/>
      <c r="AD103" s="152"/>
      <c r="AE103" s="152"/>
      <c r="AF103" s="152"/>
      <c r="AG103" s="152"/>
      <c r="AH103" s="152"/>
      <c r="AI103" s="152"/>
      <c r="AJ103" s="152"/>
      <c r="AK103" s="152"/>
      <c r="AL103" s="152"/>
      <c r="AM103" s="152"/>
      <c r="AN103" s="152"/>
      <c r="AO103" s="152"/>
      <c r="AP103" s="152"/>
      <c r="AQ103" s="152"/>
      <c r="AR103" s="152"/>
      <c r="AS103" s="152"/>
      <c r="AT103" s="152"/>
      <c r="AU103" s="152"/>
      <c r="AV103" s="152"/>
      <c r="AW103" s="152"/>
      <c r="AX103" s="152"/>
      <c r="AY103" s="152"/>
      <c r="AZ103" s="152"/>
      <c r="BA103" s="152"/>
      <c r="BB103" s="152"/>
      <c r="BC103" s="152"/>
      <c r="BD103" s="152"/>
      <c r="BE103" s="152"/>
      <c r="BF103" s="152"/>
    </row>
    <row r="104" s="1" customFormat="1" customHeight="1" spans="1:58">
      <c r="A104" s="198"/>
      <c r="B104" s="55" t="s">
        <v>105</v>
      </c>
      <c r="C104" s="56">
        <v>90</v>
      </c>
      <c r="D104" s="188">
        <v>13.35</v>
      </c>
      <c r="E104" s="189">
        <v>7.19</v>
      </c>
      <c r="F104" s="190">
        <v>6.01</v>
      </c>
      <c r="G104" s="260">
        <f t="shared" ref="G104:G108" si="22">(D104*4)+(E104*9)+(F104*4)</f>
        <v>142.15</v>
      </c>
      <c r="H104" s="199" t="s">
        <v>106</v>
      </c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X104" s="152"/>
      <c r="Y104" s="152"/>
      <c r="Z104" s="152"/>
      <c r="AA104" s="152"/>
      <c r="AB104" s="152"/>
      <c r="AC104" s="152"/>
      <c r="AD104" s="152"/>
      <c r="AE104" s="152"/>
      <c r="AF104" s="152"/>
      <c r="AG104" s="152"/>
      <c r="AH104" s="152"/>
      <c r="AI104" s="152"/>
      <c r="AJ104" s="152"/>
      <c r="AK104" s="152"/>
      <c r="AL104" s="152"/>
      <c r="AM104" s="152"/>
      <c r="AN104" s="152"/>
      <c r="AO104" s="152"/>
      <c r="AP104" s="152"/>
      <c r="AQ104" s="152"/>
      <c r="AR104" s="152"/>
      <c r="AS104" s="152"/>
      <c r="AT104" s="152"/>
      <c r="AU104" s="152"/>
      <c r="AV104" s="152"/>
      <c r="AW104" s="152"/>
      <c r="AX104" s="152"/>
      <c r="AY104" s="152"/>
      <c r="AZ104" s="152"/>
      <c r="BA104" s="152"/>
      <c r="BB104" s="152"/>
      <c r="BC104" s="152"/>
      <c r="BD104" s="152"/>
      <c r="BE104" s="152"/>
      <c r="BF104" s="152"/>
    </row>
    <row r="105" s="1" customFormat="1" customHeight="1" spans="1:58">
      <c r="A105" s="61"/>
      <c r="B105" s="55" t="s">
        <v>32</v>
      </c>
      <c r="C105" s="56">
        <v>150</v>
      </c>
      <c r="D105" s="138">
        <v>3.64</v>
      </c>
      <c r="E105" s="139">
        <v>5.37</v>
      </c>
      <c r="F105" s="140">
        <v>36.7</v>
      </c>
      <c r="G105" s="260">
        <f t="shared" si="22"/>
        <v>209.69</v>
      </c>
      <c r="H105" s="62" t="s">
        <v>107</v>
      </c>
      <c r="I105" s="152"/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152"/>
      <c r="W105" s="152"/>
      <c r="X105" s="152"/>
      <c r="Y105" s="152"/>
      <c r="Z105" s="152"/>
      <c r="AA105" s="152"/>
      <c r="AB105" s="152"/>
      <c r="AC105" s="152"/>
      <c r="AD105" s="152"/>
      <c r="AE105" s="152"/>
      <c r="AF105" s="152"/>
      <c r="AG105" s="152"/>
      <c r="AH105" s="152"/>
      <c r="AI105" s="152"/>
      <c r="AJ105" s="152"/>
      <c r="AK105" s="152"/>
      <c r="AL105" s="152"/>
      <c r="AM105" s="152"/>
      <c r="AN105" s="152"/>
      <c r="AO105" s="152"/>
      <c r="AP105" s="152"/>
      <c r="AQ105" s="152"/>
      <c r="AR105" s="152"/>
      <c r="AS105" s="152"/>
      <c r="AT105" s="152"/>
      <c r="AU105" s="152"/>
      <c r="AV105" s="152"/>
      <c r="AW105" s="152"/>
      <c r="AX105" s="152"/>
      <c r="AY105" s="152"/>
      <c r="AZ105" s="152"/>
      <c r="BA105" s="152"/>
      <c r="BB105" s="152"/>
      <c r="BC105" s="152"/>
      <c r="BD105" s="152"/>
      <c r="BE105" s="152"/>
      <c r="BF105" s="152"/>
    </row>
    <row r="106" s="1" customFormat="1" customHeight="1" spans="1:58">
      <c r="A106" s="61"/>
      <c r="B106" s="55" t="s">
        <v>44</v>
      </c>
      <c r="C106" s="56">
        <v>60</v>
      </c>
      <c r="D106" s="138">
        <v>1.86</v>
      </c>
      <c r="E106" s="139">
        <v>0.12</v>
      </c>
      <c r="F106" s="140">
        <v>3.9</v>
      </c>
      <c r="G106" s="260">
        <f t="shared" si="22"/>
        <v>24.12</v>
      </c>
      <c r="H106" s="62" t="s">
        <v>45</v>
      </c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52"/>
      <c r="X106" s="152"/>
      <c r="Y106" s="152"/>
      <c r="Z106" s="152"/>
      <c r="AA106" s="152"/>
      <c r="AB106" s="152"/>
      <c r="AC106" s="152"/>
      <c r="AD106" s="152"/>
      <c r="AE106" s="152"/>
      <c r="AF106" s="152"/>
      <c r="AG106" s="152"/>
      <c r="AH106" s="152"/>
      <c r="AI106" s="152"/>
      <c r="AJ106" s="152"/>
      <c r="AK106" s="152"/>
      <c r="AL106" s="152"/>
      <c r="AM106" s="152"/>
      <c r="AN106" s="152"/>
      <c r="AO106" s="152"/>
      <c r="AP106" s="152"/>
      <c r="AQ106" s="152"/>
      <c r="AR106" s="152"/>
      <c r="AS106" s="152"/>
      <c r="AT106" s="152"/>
      <c r="AU106" s="152"/>
      <c r="AV106" s="152"/>
      <c r="AW106" s="152"/>
      <c r="AX106" s="152"/>
      <c r="AY106" s="152"/>
      <c r="AZ106" s="152"/>
      <c r="BA106" s="152"/>
      <c r="BB106" s="152"/>
      <c r="BC106" s="152"/>
      <c r="BD106" s="152"/>
      <c r="BE106" s="152"/>
      <c r="BF106" s="152"/>
    </row>
    <row r="107" s="1" customFormat="1" customHeight="1" spans="1:58">
      <c r="A107" s="61"/>
      <c r="B107" s="55" t="s">
        <v>36</v>
      </c>
      <c r="C107" s="56" t="s">
        <v>37</v>
      </c>
      <c r="D107" s="138">
        <v>7.34</v>
      </c>
      <c r="E107" s="139">
        <v>2.1</v>
      </c>
      <c r="F107" s="140">
        <v>45.9</v>
      </c>
      <c r="G107" s="260">
        <f t="shared" si="22"/>
        <v>231.86</v>
      </c>
      <c r="H107" s="62" t="s">
        <v>23</v>
      </c>
      <c r="I107" s="152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2"/>
      <c r="Y107" s="152"/>
      <c r="Z107" s="152"/>
      <c r="AA107" s="152"/>
      <c r="AB107" s="152"/>
      <c r="AC107" s="152"/>
      <c r="AD107" s="152"/>
      <c r="AE107" s="152"/>
      <c r="AF107" s="152"/>
      <c r="AG107" s="152"/>
      <c r="AH107" s="152"/>
      <c r="AI107" s="152"/>
      <c r="AJ107" s="152"/>
      <c r="AK107" s="152"/>
      <c r="AL107" s="152"/>
      <c r="AM107" s="152"/>
      <c r="AN107" s="152"/>
      <c r="AO107" s="152"/>
      <c r="AP107" s="152"/>
      <c r="AQ107" s="152"/>
      <c r="AR107" s="152"/>
      <c r="AS107" s="152"/>
      <c r="AT107" s="152"/>
      <c r="AU107" s="152"/>
      <c r="AV107" s="152"/>
      <c r="AW107" s="152"/>
      <c r="AX107" s="152"/>
      <c r="AY107" s="152"/>
      <c r="AZ107" s="152"/>
      <c r="BA107" s="152"/>
      <c r="BB107" s="152"/>
      <c r="BC107" s="152"/>
      <c r="BD107" s="152"/>
      <c r="BE107" s="152"/>
      <c r="BF107" s="152"/>
    </row>
    <row r="108" s="1" customFormat="1" customHeight="1" spans="1:58">
      <c r="A108" s="88"/>
      <c r="B108" s="89" t="s">
        <v>38</v>
      </c>
      <c r="C108" s="90">
        <v>200</v>
      </c>
      <c r="D108" s="261">
        <v>0.6</v>
      </c>
      <c r="E108" s="262">
        <v>0.09</v>
      </c>
      <c r="F108" s="263">
        <v>17.3</v>
      </c>
      <c r="G108" s="260">
        <f t="shared" si="22"/>
        <v>72.41</v>
      </c>
      <c r="H108" s="68" t="s">
        <v>39</v>
      </c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52"/>
      <c r="X108" s="152"/>
      <c r="Y108" s="152"/>
      <c r="Z108" s="152"/>
      <c r="AA108" s="152"/>
      <c r="AB108" s="152"/>
      <c r="AC108" s="152"/>
      <c r="AD108" s="152"/>
      <c r="AE108" s="152"/>
      <c r="AF108" s="152"/>
      <c r="AG108" s="152"/>
      <c r="AH108" s="152"/>
      <c r="AI108" s="152"/>
      <c r="AJ108" s="152"/>
      <c r="AK108" s="152"/>
      <c r="AL108" s="152"/>
      <c r="AM108" s="152"/>
      <c r="AN108" s="152"/>
      <c r="AO108" s="152"/>
      <c r="AP108" s="152"/>
      <c r="AQ108" s="152"/>
      <c r="AR108" s="152"/>
      <c r="AS108" s="152"/>
      <c r="AT108" s="152"/>
      <c r="AU108" s="152"/>
      <c r="AV108" s="152"/>
      <c r="AW108" s="152"/>
      <c r="AX108" s="152"/>
      <c r="AY108" s="152"/>
      <c r="AZ108" s="152"/>
      <c r="BA108" s="152"/>
      <c r="BB108" s="152"/>
      <c r="BC108" s="152"/>
      <c r="BD108" s="152"/>
      <c r="BE108" s="152"/>
      <c r="BF108" s="152"/>
    </row>
    <row r="109" s="1" customFormat="1" customHeight="1" spans="1:58">
      <c r="A109" s="264" t="s">
        <v>25</v>
      </c>
      <c r="B109" s="265"/>
      <c r="C109" s="182">
        <f>SUM(C103:C108)+100</f>
        <v>850</v>
      </c>
      <c r="D109" s="314">
        <f t="shared" ref="D109:G109" si="23">SUM(D103:D108)</f>
        <v>28.31</v>
      </c>
      <c r="E109" s="315">
        <f t="shared" si="23"/>
        <v>20.27</v>
      </c>
      <c r="F109" s="316">
        <f t="shared" si="23"/>
        <v>118.41</v>
      </c>
      <c r="G109" s="317">
        <f t="shared" si="23"/>
        <v>769.31</v>
      </c>
      <c r="H109" s="81"/>
      <c r="I109" s="152"/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  <c r="T109" s="152"/>
      <c r="U109" s="152"/>
      <c r="V109" s="152"/>
      <c r="W109" s="152"/>
      <c r="X109" s="152"/>
      <c r="Y109" s="152"/>
      <c r="Z109" s="152"/>
      <c r="AA109" s="152"/>
      <c r="AB109" s="152"/>
      <c r="AC109" s="152"/>
      <c r="AD109" s="152"/>
      <c r="AE109" s="152"/>
      <c r="AF109" s="152"/>
      <c r="AG109" s="152"/>
      <c r="AH109" s="152"/>
      <c r="AI109" s="152"/>
      <c r="AJ109" s="152"/>
      <c r="AK109" s="152"/>
      <c r="AL109" s="152"/>
      <c r="AM109" s="152"/>
      <c r="AN109" s="152"/>
      <c r="AO109" s="152"/>
      <c r="AP109" s="152"/>
      <c r="AQ109" s="152"/>
      <c r="AR109" s="152"/>
      <c r="AS109" s="152"/>
      <c r="AT109" s="152"/>
      <c r="AU109" s="152"/>
      <c r="AV109" s="152"/>
      <c r="AW109" s="152"/>
      <c r="AX109" s="152"/>
      <c r="AY109" s="152"/>
      <c r="AZ109" s="152"/>
      <c r="BA109" s="152"/>
      <c r="BB109" s="152"/>
      <c r="BC109" s="152"/>
      <c r="BD109" s="152"/>
      <c r="BE109" s="152"/>
      <c r="BF109" s="152"/>
    </row>
    <row r="110" s="1" customFormat="1" customHeight="1" spans="1:58">
      <c r="A110" s="270" t="s">
        <v>40</v>
      </c>
      <c r="B110" s="265"/>
      <c r="C110" s="164">
        <f>C109+C101</f>
        <v>1632</v>
      </c>
      <c r="D110" s="318">
        <f t="shared" ref="D110:G110" si="24">D109+D101</f>
        <v>64.13</v>
      </c>
      <c r="E110" s="319">
        <f t="shared" si="24"/>
        <v>43.85</v>
      </c>
      <c r="F110" s="320">
        <f t="shared" si="24"/>
        <v>223.99</v>
      </c>
      <c r="G110" s="321">
        <f t="shared" si="24"/>
        <v>1547.13</v>
      </c>
      <c r="H110" s="76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52"/>
      <c r="V110" s="152"/>
      <c r="W110" s="152"/>
      <c r="X110" s="152"/>
      <c r="Y110" s="152"/>
      <c r="Z110" s="152"/>
      <c r="AA110" s="152"/>
      <c r="AB110" s="152"/>
      <c r="AC110" s="152"/>
      <c r="AD110" s="152"/>
      <c r="AE110" s="152"/>
      <c r="AF110" s="152"/>
      <c r="AG110" s="152"/>
      <c r="AH110" s="152"/>
      <c r="AI110" s="152"/>
      <c r="AJ110" s="152"/>
      <c r="AK110" s="152"/>
      <c r="AL110" s="152"/>
      <c r="AM110" s="152"/>
      <c r="AN110" s="152"/>
      <c r="AO110" s="152"/>
      <c r="AP110" s="152"/>
      <c r="AQ110" s="152"/>
      <c r="AR110" s="152"/>
      <c r="AS110" s="152"/>
      <c r="AT110" s="152"/>
      <c r="AU110" s="152"/>
      <c r="AV110" s="152"/>
      <c r="AW110" s="152"/>
      <c r="AX110" s="152"/>
      <c r="AY110" s="152"/>
      <c r="AZ110" s="152"/>
      <c r="BA110" s="152"/>
      <c r="BB110" s="152"/>
      <c r="BC110" s="152"/>
      <c r="BD110" s="152"/>
      <c r="BE110" s="152"/>
      <c r="BF110" s="152"/>
    </row>
    <row r="111" s="1" customFormat="1" customHeight="1" spans="1:58">
      <c r="A111" s="100"/>
      <c r="B111" s="101"/>
      <c r="C111" s="106"/>
      <c r="D111" s="296"/>
      <c r="E111" s="296"/>
      <c r="F111" s="296"/>
      <c r="G111" s="297"/>
      <c r="H111" s="76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2"/>
      <c r="Z111" s="152"/>
      <c r="AA111" s="152"/>
      <c r="AB111" s="152"/>
      <c r="AC111" s="152"/>
      <c r="AD111" s="152"/>
      <c r="AE111" s="152"/>
      <c r="AF111" s="152"/>
      <c r="AG111" s="152"/>
      <c r="AH111" s="152"/>
      <c r="AI111" s="152"/>
      <c r="AJ111" s="152"/>
      <c r="AK111" s="152"/>
      <c r="AL111" s="152"/>
      <c r="AM111" s="152"/>
      <c r="AN111" s="152"/>
      <c r="AO111" s="152"/>
      <c r="AP111" s="152"/>
      <c r="AQ111" s="152"/>
      <c r="AR111" s="152"/>
      <c r="AS111" s="152"/>
      <c r="AT111" s="152"/>
      <c r="AU111" s="152"/>
      <c r="AV111" s="152"/>
      <c r="AW111" s="152"/>
      <c r="AX111" s="152"/>
      <c r="AY111" s="152"/>
      <c r="AZ111" s="152"/>
      <c r="BA111" s="152"/>
      <c r="BB111" s="152"/>
      <c r="BC111" s="152"/>
      <c r="BD111" s="152"/>
      <c r="BE111" s="152"/>
      <c r="BF111" s="152"/>
    </row>
    <row r="112" ht="17.25" customHeight="1" spans="1:17">
      <c r="A112" s="204" t="s">
        <v>108</v>
      </c>
      <c r="B112" s="205"/>
      <c r="C112" s="205"/>
      <c r="D112" s="205"/>
      <c r="E112" s="205"/>
      <c r="F112" s="205"/>
      <c r="G112" s="205"/>
      <c r="H112" s="76"/>
      <c r="J112" s="152"/>
      <c r="K112" s="3"/>
      <c r="L112" s="3"/>
      <c r="M112" s="3"/>
      <c r="N112" s="3"/>
      <c r="O112" s="3"/>
      <c r="P112" s="3"/>
      <c r="Q112" s="3"/>
    </row>
    <row r="113" ht="17.25" customHeight="1" spans="1:17">
      <c r="A113" s="42"/>
      <c r="B113" s="206" t="s">
        <v>12</v>
      </c>
      <c r="C113" s="206"/>
      <c r="D113" s="206"/>
      <c r="E113" s="206"/>
      <c r="F113" s="206"/>
      <c r="G113" s="206"/>
      <c r="H113" s="76"/>
      <c r="J113" s="152"/>
      <c r="K113" s="3"/>
      <c r="L113" s="3"/>
      <c r="M113" s="3"/>
      <c r="N113" s="3"/>
      <c r="O113" s="3"/>
      <c r="P113" s="3"/>
      <c r="Q113" s="3"/>
    </row>
    <row r="114" ht="17.25" customHeight="1" spans="1:17">
      <c r="A114" s="172" t="s">
        <v>13</v>
      </c>
      <c r="B114" s="173"/>
      <c r="C114" s="110"/>
      <c r="D114" s="173"/>
      <c r="E114" s="173"/>
      <c r="F114" s="298"/>
      <c r="G114" s="298"/>
      <c r="H114" s="76"/>
      <c r="I114" s="152"/>
      <c r="J114" s="152"/>
      <c r="K114" s="3"/>
      <c r="L114" s="3"/>
      <c r="M114" s="3"/>
      <c r="N114" s="3"/>
      <c r="O114" s="3"/>
      <c r="P114" s="3"/>
      <c r="Q114" s="3"/>
    </row>
    <row r="115" s="1" customFormat="1" customHeight="1" spans="1:58">
      <c r="A115" s="207"/>
      <c r="B115" s="55" t="s">
        <v>54</v>
      </c>
      <c r="C115" s="83">
        <v>60</v>
      </c>
      <c r="D115" s="138">
        <v>1</v>
      </c>
      <c r="E115" s="139">
        <v>0.4</v>
      </c>
      <c r="F115" s="140">
        <v>2.3</v>
      </c>
      <c r="G115" s="260">
        <f>(D115*4)+(E115*9)+(F115*4)</f>
        <v>16.8</v>
      </c>
      <c r="H115" s="87" t="s">
        <v>109</v>
      </c>
      <c r="I115" s="152"/>
      <c r="J115" s="152"/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  <c r="Y115" s="152"/>
      <c r="Z115" s="152"/>
      <c r="AA115" s="152"/>
      <c r="AB115" s="152"/>
      <c r="AC115" s="152"/>
      <c r="AD115" s="152"/>
      <c r="AE115" s="152"/>
      <c r="AF115" s="152"/>
      <c r="AG115" s="152"/>
      <c r="AH115" s="152"/>
      <c r="AI115" s="152"/>
      <c r="AJ115" s="152"/>
      <c r="AK115" s="152"/>
      <c r="AL115" s="152"/>
      <c r="AM115" s="152"/>
      <c r="AN115" s="152"/>
      <c r="AO115" s="152"/>
      <c r="AP115" s="152"/>
      <c r="AQ115" s="152"/>
      <c r="AR115" s="152"/>
      <c r="AS115" s="152"/>
      <c r="AT115" s="152"/>
      <c r="AU115" s="152"/>
      <c r="AV115" s="152"/>
      <c r="AW115" s="152"/>
      <c r="AX115" s="152"/>
      <c r="AY115" s="152"/>
      <c r="AZ115" s="152"/>
      <c r="BA115" s="152"/>
      <c r="BB115" s="152"/>
      <c r="BC115" s="152"/>
      <c r="BD115" s="152"/>
      <c r="BE115" s="152"/>
      <c r="BF115" s="152"/>
    </row>
    <row r="116" s="1" customFormat="1" customHeight="1" spans="1:58">
      <c r="A116" s="115"/>
      <c r="B116" s="55" t="s">
        <v>110</v>
      </c>
      <c r="C116" s="56">
        <v>100</v>
      </c>
      <c r="D116" s="188">
        <v>6.5</v>
      </c>
      <c r="E116" s="189">
        <v>4.4</v>
      </c>
      <c r="F116" s="190">
        <v>7.6</v>
      </c>
      <c r="G116" s="260">
        <f t="shared" ref="G116:G120" si="25">(D116*4)+(E116*9)+(F116*4)</f>
        <v>96</v>
      </c>
      <c r="H116" s="187" t="s">
        <v>111</v>
      </c>
      <c r="I116" s="152"/>
      <c r="J116" s="152"/>
      <c r="K116" s="152"/>
      <c r="L116" s="152"/>
      <c r="M116" s="152"/>
      <c r="N116" s="152"/>
      <c r="O116" s="152"/>
      <c r="P116" s="152"/>
      <c r="Q116" s="152"/>
      <c r="R116" s="152"/>
      <c r="S116" s="152"/>
      <c r="T116" s="152"/>
      <c r="U116" s="152"/>
      <c r="V116" s="152"/>
      <c r="W116" s="152"/>
      <c r="X116" s="152"/>
      <c r="Y116" s="152"/>
      <c r="Z116" s="152"/>
      <c r="AA116" s="152"/>
      <c r="AB116" s="152"/>
      <c r="AC116" s="152"/>
      <c r="AD116" s="152"/>
      <c r="AE116" s="152"/>
      <c r="AF116" s="152"/>
      <c r="AG116" s="152"/>
      <c r="AH116" s="152"/>
      <c r="AI116" s="152"/>
      <c r="AJ116" s="152"/>
      <c r="AK116" s="152"/>
      <c r="AL116" s="152"/>
      <c r="AM116" s="152"/>
      <c r="AN116" s="152"/>
      <c r="AO116" s="152"/>
      <c r="AP116" s="152"/>
      <c r="AQ116" s="152"/>
      <c r="AR116" s="152"/>
      <c r="AS116" s="152"/>
      <c r="AT116" s="152"/>
      <c r="AU116" s="152"/>
      <c r="AV116" s="152"/>
      <c r="AW116" s="152"/>
      <c r="AX116" s="152"/>
      <c r="AY116" s="152"/>
      <c r="AZ116" s="152"/>
      <c r="BA116" s="152"/>
      <c r="BB116" s="152"/>
      <c r="BC116" s="152"/>
      <c r="BD116" s="152"/>
      <c r="BE116" s="152"/>
      <c r="BF116" s="152"/>
    </row>
    <row r="117" s="1" customFormat="1" customHeight="1" spans="1:58">
      <c r="A117" s="115"/>
      <c r="B117" s="55" t="s">
        <v>112</v>
      </c>
      <c r="C117" s="56">
        <v>150</v>
      </c>
      <c r="D117" s="188">
        <v>1.42</v>
      </c>
      <c r="E117" s="189">
        <v>1.8</v>
      </c>
      <c r="F117" s="190">
        <v>10.3</v>
      </c>
      <c r="G117" s="260">
        <f t="shared" si="25"/>
        <v>63.08</v>
      </c>
      <c r="H117" s="187" t="s">
        <v>64</v>
      </c>
      <c r="I117" s="152"/>
      <c r="J117" s="152"/>
      <c r="K117" s="152"/>
      <c r="L117" s="152"/>
      <c r="M117" s="152"/>
      <c r="N117" s="152"/>
      <c r="O117" s="152"/>
      <c r="P117" s="152"/>
      <c r="Q117" s="152"/>
      <c r="R117" s="152"/>
      <c r="S117" s="152"/>
      <c r="T117" s="152"/>
      <c r="U117" s="152"/>
      <c r="V117" s="152"/>
      <c r="W117" s="152"/>
      <c r="X117" s="152"/>
      <c r="Y117" s="152"/>
      <c r="Z117" s="152"/>
      <c r="AA117" s="152"/>
      <c r="AB117" s="152"/>
      <c r="AC117" s="152"/>
      <c r="AD117" s="152"/>
      <c r="AE117" s="152"/>
      <c r="AF117" s="152"/>
      <c r="AG117" s="152"/>
      <c r="AH117" s="152"/>
      <c r="AI117" s="152"/>
      <c r="AJ117" s="152"/>
      <c r="AK117" s="152"/>
      <c r="AL117" s="152"/>
      <c r="AM117" s="152"/>
      <c r="AN117" s="152"/>
      <c r="AO117" s="152"/>
      <c r="AP117" s="152"/>
      <c r="AQ117" s="152"/>
      <c r="AR117" s="152"/>
      <c r="AS117" s="152"/>
      <c r="AT117" s="152"/>
      <c r="AU117" s="152"/>
      <c r="AV117" s="152"/>
      <c r="AW117" s="152"/>
      <c r="AX117" s="152"/>
      <c r="AY117" s="152"/>
      <c r="AZ117" s="152"/>
      <c r="BA117" s="152"/>
      <c r="BB117" s="152"/>
      <c r="BC117" s="152"/>
      <c r="BD117" s="152"/>
      <c r="BE117" s="152"/>
      <c r="BF117" s="152"/>
    </row>
    <row r="118" s="1" customFormat="1" customHeight="1" spans="1:58">
      <c r="A118" s="115"/>
      <c r="B118" s="55" t="s">
        <v>46</v>
      </c>
      <c r="C118" s="56">
        <v>200</v>
      </c>
      <c r="D118" s="138">
        <v>4.9</v>
      </c>
      <c r="E118" s="139">
        <v>5</v>
      </c>
      <c r="F118" s="140">
        <v>32.5</v>
      </c>
      <c r="G118" s="260">
        <f t="shared" si="25"/>
        <v>194.6</v>
      </c>
      <c r="H118" s="187" t="s">
        <v>47</v>
      </c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  <c r="T118" s="152"/>
      <c r="U118" s="152"/>
      <c r="V118" s="152"/>
      <c r="W118" s="152"/>
      <c r="X118" s="152"/>
      <c r="Y118" s="152"/>
      <c r="Z118" s="152"/>
      <c r="AA118" s="152"/>
      <c r="AB118" s="152"/>
      <c r="AC118" s="152"/>
      <c r="AD118" s="152"/>
      <c r="AE118" s="152"/>
      <c r="AF118" s="152"/>
      <c r="AG118" s="152"/>
      <c r="AH118" s="152"/>
      <c r="AI118" s="152"/>
      <c r="AJ118" s="152"/>
      <c r="AK118" s="152"/>
      <c r="AL118" s="152"/>
      <c r="AM118" s="152"/>
      <c r="AN118" s="152"/>
      <c r="AO118" s="152"/>
      <c r="AP118" s="152"/>
      <c r="AQ118" s="152"/>
      <c r="AR118" s="152"/>
      <c r="AS118" s="152"/>
      <c r="AT118" s="152"/>
      <c r="AU118" s="152"/>
      <c r="AV118" s="152"/>
      <c r="AW118" s="152"/>
      <c r="AX118" s="152"/>
      <c r="AY118" s="152"/>
      <c r="AZ118" s="152"/>
      <c r="BA118" s="152"/>
      <c r="BB118" s="152"/>
      <c r="BC118" s="152"/>
      <c r="BD118" s="152"/>
      <c r="BE118" s="152"/>
      <c r="BF118" s="152"/>
    </row>
    <row r="119" s="1" customFormat="1" customHeight="1" spans="1:58">
      <c r="A119" s="61"/>
      <c r="B119" s="55" t="s">
        <v>22</v>
      </c>
      <c r="C119" s="191">
        <v>40</v>
      </c>
      <c r="D119" s="138">
        <v>3.04</v>
      </c>
      <c r="E119" s="139">
        <v>0.4</v>
      </c>
      <c r="F119" s="140">
        <v>24.6</v>
      </c>
      <c r="G119" s="260">
        <f t="shared" si="25"/>
        <v>114.16</v>
      </c>
      <c r="H119" s="62" t="s">
        <v>23</v>
      </c>
      <c r="I119" s="152"/>
      <c r="J119" s="152"/>
      <c r="K119" s="152"/>
      <c r="L119" s="152"/>
      <c r="M119" s="152"/>
      <c r="N119" s="152"/>
      <c r="O119" s="152"/>
      <c r="P119" s="152"/>
      <c r="Q119" s="152"/>
      <c r="R119" s="152"/>
      <c r="S119" s="152"/>
      <c r="T119" s="152"/>
      <c r="U119" s="152"/>
      <c r="V119" s="152"/>
      <c r="W119" s="152"/>
      <c r="X119" s="152"/>
      <c r="Y119" s="152"/>
      <c r="Z119" s="152"/>
      <c r="AA119" s="152"/>
      <c r="AB119" s="152"/>
      <c r="AC119" s="152"/>
      <c r="AD119" s="152"/>
      <c r="AE119" s="152"/>
      <c r="AF119" s="152"/>
      <c r="AG119" s="152"/>
      <c r="AH119" s="152"/>
      <c r="AI119" s="152"/>
      <c r="AJ119" s="152"/>
      <c r="AK119" s="152"/>
      <c r="AL119" s="152"/>
      <c r="AM119" s="152"/>
      <c r="AN119" s="152"/>
      <c r="AO119" s="152"/>
      <c r="AP119" s="152"/>
      <c r="AQ119" s="152"/>
      <c r="AR119" s="152"/>
      <c r="AS119" s="152"/>
      <c r="AT119" s="152"/>
      <c r="AU119" s="152"/>
      <c r="AV119" s="152"/>
      <c r="AW119" s="152"/>
      <c r="AX119" s="152"/>
      <c r="AY119" s="152"/>
      <c r="AZ119" s="152"/>
      <c r="BA119" s="152"/>
      <c r="BB119" s="152"/>
      <c r="BC119" s="152"/>
      <c r="BD119" s="152"/>
      <c r="BE119" s="152"/>
      <c r="BF119" s="152"/>
    </row>
    <row r="120" s="1" customFormat="1" ht="28" customHeight="1" spans="1:58">
      <c r="A120" s="88"/>
      <c r="B120" s="137" t="s">
        <v>66</v>
      </c>
      <c r="C120" s="90" t="s">
        <v>67</v>
      </c>
      <c r="D120" s="138">
        <v>1</v>
      </c>
      <c r="E120" s="139">
        <v>0.1</v>
      </c>
      <c r="F120" s="140">
        <v>80</v>
      </c>
      <c r="G120" s="260">
        <f t="shared" si="25"/>
        <v>324.9</v>
      </c>
      <c r="H120" s="68" t="s">
        <v>23</v>
      </c>
      <c r="I120" s="152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  <c r="T120" s="152"/>
      <c r="U120" s="152"/>
      <c r="V120" s="152"/>
      <c r="W120" s="152"/>
      <c r="X120" s="152"/>
      <c r="Y120" s="152"/>
      <c r="Z120" s="152"/>
      <c r="AA120" s="152"/>
      <c r="AB120" s="152"/>
      <c r="AC120" s="152"/>
      <c r="AD120" s="152"/>
      <c r="AE120" s="152"/>
      <c r="AF120" s="152"/>
      <c r="AG120" s="152"/>
      <c r="AH120" s="152"/>
      <c r="AI120" s="152"/>
      <c r="AJ120" s="152"/>
      <c r="AK120" s="152"/>
      <c r="AL120" s="152"/>
      <c r="AM120" s="152"/>
      <c r="AN120" s="152"/>
      <c r="AO120" s="152"/>
      <c r="AP120" s="152"/>
      <c r="AQ120" s="152"/>
      <c r="AR120" s="152"/>
      <c r="AS120" s="152"/>
      <c r="AT120" s="152"/>
      <c r="AU120" s="152"/>
      <c r="AV120" s="152"/>
      <c r="AW120" s="152"/>
      <c r="AX120" s="152"/>
      <c r="AY120" s="152"/>
      <c r="AZ120" s="152"/>
      <c r="BA120" s="152"/>
      <c r="BB120" s="152"/>
      <c r="BC120" s="152"/>
      <c r="BD120" s="152"/>
      <c r="BE120" s="152"/>
      <c r="BF120" s="152"/>
    </row>
    <row r="121" s="1" customFormat="1" customHeight="1" spans="1:58">
      <c r="A121" s="278" t="s">
        <v>25</v>
      </c>
      <c r="B121" s="284"/>
      <c r="C121" s="209">
        <f>SUM(C115:C120)+40</f>
        <v>590</v>
      </c>
      <c r="D121" s="285">
        <f t="shared" ref="D121:G121" si="26">D115+D116+D117+D118+D120+D119</f>
        <v>17.86</v>
      </c>
      <c r="E121" s="286">
        <f t="shared" si="26"/>
        <v>12.1</v>
      </c>
      <c r="F121" s="287">
        <f t="shared" si="26"/>
        <v>157.3</v>
      </c>
      <c r="G121" s="288">
        <f t="shared" si="26"/>
        <v>809.54</v>
      </c>
      <c r="H121" s="180"/>
      <c r="I121" s="152"/>
      <c r="J121" s="152"/>
      <c r="K121" s="152"/>
      <c r="L121" s="152"/>
      <c r="M121" s="152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2"/>
      <c r="Y121" s="152"/>
      <c r="Z121" s="152"/>
      <c r="AA121" s="152"/>
      <c r="AB121" s="152"/>
      <c r="AC121" s="152"/>
      <c r="AD121" s="152"/>
      <c r="AE121" s="152"/>
      <c r="AF121" s="152"/>
      <c r="AG121" s="152"/>
      <c r="AH121" s="152"/>
      <c r="AI121" s="152"/>
      <c r="AJ121" s="152"/>
      <c r="AK121" s="152"/>
      <c r="AL121" s="152"/>
      <c r="AM121" s="152"/>
      <c r="AN121" s="152"/>
      <c r="AO121" s="152"/>
      <c r="AP121" s="152"/>
      <c r="AQ121" s="152"/>
      <c r="AR121" s="152"/>
      <c r="AS121" s="152"/>
      <c r="AT121" s="152"/>
      <c r="AU121" s="152"/>
      <c r="AV121" s="152"/>
      <c r="AW121" s="152"/>
      <c r="AX121" s="152"/>
      <c r="AY121" s="152"/>
      <c r="AZ121" s="152"/>
      <c r="BA121" s="152"/>
      <c r="BB121" s="152"/>
      <c r="BC121" s="152"/>
      <c r="BD121" s="152"/>
      <c r="BE121" s="152"/>
      <c r="BF121" s="152"/>
    </row>
    <row r="122" ht="17.25" customHeight="1" spans="1:17">
      <c r="A122" s="147" t="s">
        <v>26</v>
      </c>
      <c r="B122" s="289"/>
      <c r="C122" s="124"/>
      <c r="D122" s="255"/>
      <c r="E122" s="255"/>
      <c r="F122" s="256"/>
      <c r="G122" s="256"/>
      <c r="H122" s="180"/>
      <c r="I122" s="153"/>
      <c r="J122" s="152"/>
      <c r="K122" s="3"/>
      <c r="L122" s="3"/>
      <c r="M122" s="3"/>
      <c r="N122" s="3"/>
      <c r="O122" s="3"/>
      <c r="P122" s="3"/>
      <c r="Q122" s="3"/>
    </row>
    <row r="123" s="1" customFormat="1" ht="30.75" customHeight="1" spans="1:58">
      <c r="A123" s="207"/>
      <c r="B123" s="82" t="s">
        <v>113</v>
      </c>
      <c r="C123" s="83">
        <v>250</v>
      </c>
      <c r="D123" s="299">
        <v>2.76</v>
      </c>
      <c r="E123" s="300">
        <v>6.33</v>
      </c>
      <c r="F123" s="301">
        <v>15</v>
      </c>
      <c r="G123" s="260">
        <f>(D123*4)+(E123*9)+(F123*4)</f>
        <v>128.01</v>
      </c>
      <c r="H123" s="87" t="s">
        <v>114</v>
      </c>
      <c r="I123" s="152"/>
      <c r="J123" s="152"/>
      <c r="K123" s="152"/>
      <c r="L123" s="152"/>
      <c r="M123" s="152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2"/>
      <c r="Y123" s="152"/>
      <c r="Z123" s="152"/>
      <c r="AA123" s="152"/>
      <c r="AB123" s="152"/>
      <c r="AC123" s="152"/>
      <c r="AD123" s="152"/>
      <c r="AE123" s="152"/>
      <c r="AF123" s="152"/>
      <c r="AG123" s="152"/>
      <c r="AH123" s="152"/>
      <c r="AI123" s="152"/>
      <c r="AJ123" s="152"/>
      <c r="AK123" s="152"/>
      <c r="AL123" s="152"/>
      <c r="AM123" s="152"/>
      <c r="AN123" s="152"/>
      <c r="AO123" s="152"/>
      <c r="AP123" s="152"/>
      <c r="AQ123" s="152"/>
      <c r="AR123" s="152"/>
      <c r="AS123" s="152"/>
      <c r="AT123" s="152"/>
      <c r="AU123" s="152"/>
      <c r="AV123" s="152"/>
      <c r="AW123" s="152"/>
      <c r="AX123" s="152"/>
      <c r="AY123" s="152"/>
      <c r="AZ123" s="152"/>
      <c r="BA123" s="152"/>
      <c r="BB123" s="152"/>
      <c r="BC123" s="152"/>
      <c r="BD123" s="152"/>
      <c r="BE123" s="152"/>
      <c r="BF123" s="152"/>
    </row>
    <row r="124" s="1" customFormat="1" customHeight="1" spans="1:58">
      <c r="A124" s="61"/>
      <c r="B124" s="55" t="s">
        <v>115</v>
      </c>
      <c r="C124" s="56">
        <v>220</v>
      </c>
      <c r="D124" s="188">
        <v>21.47</v>
      </c>
      <c r="E124" s="189">
        <v>19.69</v>
      </c>
      <c r="F124" s="190">
        <v>35.69</v>
      </c>
      <c r="G124" s="260">
        <f t="shared" ref="G124:G128" si="27">(D124*4)+(E124*9)+(F124*4)</f>
        <v>405.85</v>
      </c>
      <c r="H124" s="62" t="s">
        <v>116</v>
      </c>
      <c r="I124" s="152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W124" s="152"/>
      <c r="X124" s="152"/>
      <c r="Y124" s="152"/>
      <c r="Z124" s="152"/>
      <c r="AA124" s="152"/>
      <c r="AB124" s="152"/>
      <c r="AC124" s="152"/>
      <c r="AD124" s="152"/>
      <c r="AE124" s="152"/>
      <c r="AF124" s="152"/>
      <c r="AG124" s="152"/>
      <c r="AH124" s="152"/>
      <c r="AI124" s="152"/>
      <c r="AJ124" s="152"/>
      <c r="AK124" s="152"/>
      <c r="AL124" s="152"/>
      <c r="AM124" s="152"/>
      <c r="AN124" s="152"/>
      <c r="AO124" s="152"/>
      <c r="AP124" s="152"/>
      <c r="AQ124" s="152"/>
      <c r="AR124" s="152"/>
      <c r="AS124" s="152"/>
      <c r="AT124" s="152"/>
      <c r="AU124" s="152"/>
      <c r="AV124" s="152"/>
      <c r="AW124" s="152"/>
      <c r="AX124" s="152"/>
      <c r="AY124" s="152"/>
      <c r="AZ124" s="152"/>
      <c r="BA124" s="152"/>
      <c r="BB124" s="152"/>
      <c r="BC124" s="152"/>
      <c r="BD124" s="152"/>
      <c r="BE124" s="152"/>
      <c r="BF124" s="152"/>
    </row>
    <row r="125" s="1" customFormat="1" customHeight="1" spans="1:58">
      <c r="A125" s="61"/>
      <c r="B125" s="55" t="s">
        <v>54</v>
      </c>
      <c r="C125" s="56">
        <v>60</v>
      </c>
      <c r="D125" s="138">
        <v>1</v>
      </c>
      <c r="E125" s="139">
        <v>0.4</v>
      </c>
      <c r="F125" s="140">
        <v>2.3</v>
      </c>
      <c r="G125" s="260">
        <f t="shared" si="27"/>
        <v>16.8</v>
      </c>
      <c r="H125" s="62" t="s">
        <v>65</v>
      </c>
      <c r="I125" s="152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52"/>
      <c r="Z125" s="152"/>
      <c r="AA125" s="152"/>
      <c r="AB125" s="152"/>
      <c r="AC125" s="152"/>
      <c r="AD125" s="152"/>
      <c r="AE125" s="152"/>
      <c r="AF125" s="152"/>
      <c r="AG125" s="152"/>
      <c r="AH125" s="152"/>
      <c r="AI125" s="152"/>
      <c r="AJ125" s="152"/>
      <c r="AK125" s="152"/>
      <c r="AL125" s="152"/>
      <c r="AM125" s="152"/>
      <c r="AN125" s="152"/>
      <c r="AO125" s="152"/>
      <c r="AP125" s="152"/>
      <c r="AQ125" s="152"/>
      <c r="AR125" s="152"/>
      <c r="AS125" s="152"/>
      <c r="AT125" s="152"/>
      <c r="AU125" s="152"/>
      <c r="AV125" s="152"/>
      <c r="AW125" s="152"/>
      <c r="AX125" s="152"/>
      <c r="AY125" s="152"/>
      <c r="AZ125" s="152"/>
      <c r="BA125" s="152"/>
      <c r="BB125" s="152"/>
      <c r="BC125" s="152"/>
      <c r="BD125" s="152"/>
      <c r="BE125" s="152"/>
      <c r="BF125" s="152"/>
    </row>
    <row r="126" s="1" customFormat="1" customHeight="1" spans="1:58">
      <c r="A126" s="61"/>
      <c r="B126" s="55" t="s">
        <v>36</v>
      </c>
      <c r="C126" s="56" t="s">
        <v>37</v>
      </c>
      <c r="D126" s="138">
        <v>7.34</v>
      </c>
      <c r="E126" s="139">
        <v>2.1</v>
      </c>
      <c r="F126" s="140">
        <v>45.9</v>
      </c>
      <c r="G126" s="260">
        <f t="shared" si="27"/>
        <v>231.86</v>
      </c>
      <c r="H126" s="62" t="s">
        <v>23</v>
      </c>
      <c r="I126" s="152"/>
      <c r="J126" s="152"/>
      <c r="K126" s="152"/>
      <c r="L126" s="152"/>
      <c r="M126" s="152"/>
      <c r="N126" s="152">
        <v>4</v>
      </c>
      <c r="O126" s="152"/>
      <c r="P126" s="152"/>
      <c r="Q126" s="152"/>
      <c r="R126" s="152"/>
      <c r="S126" s="152"/>
      <c r="T126" s="152"/>
      <c r="U126" s="152"/>
      <c r="V126" s="152"/>
      <c r="W126" s="152"/>
      <c r="X126" s="152"/>
      <c r="Y126" s="152"/>
      <c r="Z126" s="152"/>
      <c r="AA126" s="152"/>
      <c r="AB126" s="152"/>
      <c r="AC126" s="152"/>
      <c r="AD126" s="152"/>
      <c r="AE126" s="152"/>
      <c r="AF126" s="152"/>
      <c r="AG126" s="152"/>
      <c r="AH126" s="152"/>
      <c r="AI126" s="152"/>
      <c r="AJ126" s="152"/>
      <c r="AK126" s="152"/>
      <c r="AL126" s="152"/>
      <c r="AM126" s="152"/>
      <c r="AN126" s="152"/>
      <c r="AO126" s="152"/>
      <c r="AP126" s="152"/>
      <c r="AQ126" s="152"/>
      <c r="AR126" s="152"/>
      <c r="AS126" s="152"/>
      <c r="AT126" s="152"/>
      <c r="AU126" s="152"/>
      <c r="AV126" s="152"/>
      <c r="AW126" s="152"/>
      <c r="AX126" s="152"/>
      <c r="AY126" s="152"/>
      <c r="AZ126" s="152"/>
      <c r="BA126" s="152"/>
      <c r="BB126" s="152"/>
      <c r="BC126" s="152"/>
      <c r="BD126" s="152"/>
      <c r="BE126" s="152"/>
      <c r="BF126" s="152"/>
    </row>
    <row r="127" s="1" customFormat="1" customHeight="1" spans="1:58">
      <c r="A127" s="88"/>
      <c r="B127" s="89" t="s">
        <v>93</v>
      </c>
      <c r="C127" s="90">
        <v>200</v>
      </c>
      <c r="D127" s="261">
        <v>0.6</v>
      </c>
      <c r="E127" s="262">
        <v>0.02</v>
      </c>
      <c r="F127" s="263">
        <v>30.4</v>
      </c>
      <c r="G127" s="260">
        <f t="shared" si="27"/>
        <v>124.18</v>
      </c>
      <c r="H127" s="68" t="s">
        <v>117</v>
      </c>
      <c r="I127" s="152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  <c r="T127" s="152"/>
      <c r="U127" s="152"/>
      <c r="V127" s="152"/>
      <c r="W127" s="152"/>
      <c r="X127" s="152"/>
      <c r="Y127" s="152"/>
      <c r="Z127" s="152"/>
      <c r="AA127" s="152"/>
      <c r="AB127" s="152"/>
      <c r="AC127" s="152"/>
      <c r="AD127" s="152"/>
      <c r="AE127" s="152"/>
      <c r="AF127" s="152"/>
      <c r="AG127" s="152"/>
      <c r="AH127" s="152"/>
      <c r="AI127" s="152"/>
      <c r="AJ127" s="152"/>
      <c r="AK127" s="152"/>
      <c r="AL127" s="152"/>
      <c r="AM127" s="152"/>
      <c r="AN127" s="152"/>
      <c r="AO127" s="152"/>
      <c r="AP127" s="152"/>
      <c r="AQ127" s="152"/>
      <c r="AR127" s="152"/>
      <c r="AS127" s="152"/>
      <c r="AT127" s="152"/>
      <c r="AU127" s="152"/>
      <c r="AV127" s="152"/>
      <c r="AW127" s="152"/>
      <c r="AX127" s="152"/>
      <c r="AY127" s="152"/>
      <c r="AZ127" s="152"/>
      <c r="BA127" s="152"/>
      <c r="BB127" s="152"/>
      <c r="BC127" s="152"/>
      <c r="BD127" s="152"/>
      <c r="BE127" s="152"/>
      <c r="BF127" s="152"/>
    </row>
    <row r="128" s="1" customFormat="1" customHeight="1" spans="1:58">
      <c r="A128" s="54"/>
      <c r="B128" s="177" t="s">
        <v>86</v>
      </c>
      <c r="C128" s="56">
        <v>100</v>
      </c>
      <c r="D128" s="245">
        <v>0.4</v>
      </c>
      <c r="E128" s="246">
        <v>0.4</v>
      </c>
      <c r="F128" s="247">
        <v>9.8</v>
      </c>
      <c r="G128" s="260">
        <f t="shared" si="27"/>
        <v>44.4</v>
      </c>
      <c r="H128" s="60" t="s">
        <v>23</v>
      </c>
      <c r="I128" s="152"/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  <c r="T128" s="152"/>
      <c r="U128" s="152"/>
      <c r="V128" s="152"/>
      <c r="W128" s="152"/>
      <c r="X128" s="152"/>
      <c r="Y128" s="152"/>
      <c r="Z128" s="152"/>
      <c r="AA128" s="152"/>
      <c r="AB128" s="152"/>
      <c r="AC128" s="152"/>
      <c r="AD128" s="152"/>
      <c r="AE128" s="152"/>
      <c r="AF128" s="152"/>
      <c r="AG128" s="152"/>
      <c r="AH128" s="152"/>
      <c r="AI128" s="152"/>
      <c r="AJ128" s="152"/>
      <c r="AK128" s="152"/>
      <c r="AL128" s="152"/>
      <c r="AM128" s="152"/>
      <c r="AN128" s="152"/>
      <c r="AO128" s="152"/>
      <c r="AP128" s="152"/>
      <c r="AQ128" s="152"/>
      <c r="AR128" s="152"/>
      <c r="AS128" s="152"/>
      <c r="AT128" s="152"/>
      <c r="AU128" s="152"/>
      <c r="AV128" s="152"/>
      <c r="AW128" s="152"/>
      <c r="AX128" s="152"/>
      <c r="AY128" s="152"/>
      <c r="AZ128" s="152"/>
      <c r="BA128" s="152"/>
      <c r="BB128" s="152"/>
      <c r="BC128" s="152"/>
      <c r="BD128" s="152"/>
      <c r="BE128" s="152"/>
      <c r="BF128" s="152"/>
    </row>
    <row r="129" s="1" customFormat="1" customHeight="1" spans="1:58">
      <c r="A129" s="264" t="s">
        <v>25</v>
      </c>
      <c r="B129" s="265"/>
      <c r="C129" s="182">
        <f>SUM(C123:C127)+100</f>
        <v>830</v>
      </c>
      <c r="D129" s="314">
        <f t="shared" ref="D129:G129" si="28">SUM(D123:D127)</f>
        <v>33.17</v>
      </c>
      <c r="E129" s="315">
        <f t="shared" si="28"/>
        <v>28.54</v>
      </c>
      <c r="F129" s="316">
        <f t="shared" si="28"/>
        <v>129.29</v>
      </c>
      <c r="G129" s="317">
        <f t="shared" si="28"/>
        <v>906.7</v>
      </c>
      <c r="H129" s="76"/>
      <c r="I129" s="152"/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  <c r="T129" s="152"/>
      <c r="U129" s="152"/>
      <c r="V129" s="152"/>
      <c r="W129" s="152"/>
      <c r="X129" s="152"/>
      <c r="Y129" s="152"/>
      <c r="Z129" s="152"/>
      <c r="AA129" s="152"/>
      <c r="AB129" s="152"/>
      <c r="AC129" s="152"/>
      <c r="AD129" s="152"/>
      <c r="AE129" s="152"/>
      <c r="AF129" s="152"/>
      <c r="AG129" s="152"/>
      <c r="AH129" s="152"/>
      <c r="AI129" s="152"/>
      <c r="AJ129" s="152"/>
      <c r="AK129" s="152"/>
      <c r="AL129" s="152"/>
      <c r="AM129" s="152"/>
      <c r="AN129" s="152"/>
      <c r="AO129" s="152"/>
      <c r="AP129" s="152"/>
      <c r="AQ129" s="152"/>
      <c r="AR129" s="152"/>
      <c r="AS129" s="152"/>
      <c r="AT129" s="152"/>
      <c r="AU129" s="152"/>
      <c r="AV129" s="152"/>
      <c r="AW129" s="152"/>
      <c r="AX129" s="152"/>
      <c r="AY129" s="152"/>
      <c r="AZ129" s="152"/>
      <c r="BA129" s="152"/>
      <c r="BB129" s="152"/>
      <c r="BC129" s="152"/>
      <c r="BD129" s="152"/>
      <c r="BE129" s="152"/>
      <c r="BF129" s="152"/>
    </row>
    <row r="130" s="1" customFormat="1" customHeight="1" spans="1:58">
      <c r="A130" s="270" t="s">
        <v>40</v>
      </c>
      <c r="B130" s="265"/>
      <c r="C130" s="164">
        <f>C129+C121</f>
        <v>1420</v>
      </c>
      <c r="D130" s="306">
        <f t="shared" ref="D130:G130" si="29">D129+D121</f>
        <v>51.03</v>
      </c>
      <c r="E130" s="307">
        <f t="shared" si="29"/>
        <v>40.64</v>
      </c>
      <c r="F130" s="308">
        <f t="shared" si="29"/>
        <v>286.59</v>
      </c>
      <c r="G130" s="309">
        <f t="shared" si="29"/>
        <v>1716.24</v>
      </c>
      <c r="H130" s="81"/>
      <c r="I130" s="152"/>
      <c r="J130" s="152"/>
      <c r="K130" s="152"/>
      <c r="L130" s="152"/>
      <c r="M130" s="152"/>
      <c r="N130" s="152"/>
      <c r="O130" s="152"/>
      <c r="P130" s="152"/>
      <c r="Q130" s="152"/>
      <c r="R130" s="152"/>
      <c r="S130" s="152"/>
      <c r="T130" s="152"/>
      <c r="U130" s="152"/>
      <c r="V130" s="152"/>
      <c r="W130" s="152"/>
      <c r="X130" s="152"/>
      <c r="Y130" s="152"/>
      <c r="Z130" s="152"/>
      <c r="AA130" s="152"/>
      <c r="AB130" s="152"/>
      <c r="AC130" s="152"/>
      <c r="AD130" s="152"/>
      <c r="AE130" s="152"/>
      <c r="AF130" s="152"/>
      <c r="AG130" s="152"/>
      <c r="AH130" s="152"/>
      <c r="AI130" s="152"/>
      <c r="AJ130" s="152"/>
      <c r="AK130" s="152"/>
      <c r="AL130" s="152"/>
      <c r="AM130" s="152"/>
      <c r="AN130" s="152"/>
      <c r="AO130" s="152"/>
      <c r="AP130" s="152"/>
      <c r="AQ130" s="152"/>
      <c r="AR130" s="152"/>
      <c r="AS130" s="152"/>
      <c r="AT130" s="152"/>
      <c r="AU130" s="152"/>
      <c r="AV130" s="152"/>
      <c r="AW130" s="152"/>
      <c r="AX130" s="152"/>
      <c r="AY130" s="152"/>
      <c r="AZ130" s="152"/>
      <c r="BA130" s="152"/>
      <c r="BB130" s="152"/>
      <c r="BC130" s="152"/>
      <c r="BD130" s="152"/>
      <c r="BE130" s="152"/>
      <c r="BF130" s="152"/>
    </row>
    <row r="131" s="1" customFormat="1" customHeight="1" spans="1:58">
      <c r="A131" s="100"/>
      <c r="B131" s="101"/>
      <c r="C131" s="106"/>
      <c r="D131" s="296"/>
      <c r="E131" s="296"/>
      <c r="F131" s="296"/>
      <c r="G131" s="297"/>
      <c r="H131" s="76"/>
      <c r="I131" s="152"/>
      <c r="J131" s="152"/>
      <c r="K131" s="152"/>
      <c r="L131" s="152"/>
      <c r="M131" s="152"/>
      <c r="N131" s="152"/>
      <c r="O131" s="152"/>
      <c r="P131" s="152"/>
      <c r="Q131" s="152"/>
      <c r="R131" s="152"/>
      <c r="S131" s="152"/>
      <c r="T131" s="152"/>
      <c r="U131" s="152"/>
      <c r="V131" s="152"/>
      <c r="W131" s="152"/>
      <c r="X131" s="152"/>
      <c r="Y131" s="152"/>
      <c r="Z131" s="152"/>
      <c r="AA131" s="152"/>
      <c r="AB131" s="152"/>
      <c r="AC131" s="152"/>
      <c r="AD131" s="152"/>
      <c r="AE131" s="152"/>
      <c r="AF131" s="152"/>
      <c r="AG131" s="152"/>
      <c r="AH131" s="152"/>
      <c r="AI131" s="152"/>
      <c r="AJ131" s="152"/>
      <c r="AK131" s="152"/>
      <c r="AL131" s="152"/>
      <c r="AM131" s="152"/>
      <c r="AN131" s="152"/>
      <c r="AO131" s="152"/>
      <c r="AP131" s="152"/>
      <c r="AQ131" s="152"/>
      <c r="AR131" s="152"/>
      <c r="AS131" s="152"/>
      <c r="AT131" s="152"/>
      <c r="AU131" s="152"/>
      <c r="AV131" s="152"/>
      <c r="AW131" s="152"/>
      <c r="AX131" s="152"/>
      <c r="AY131" s="152"/>
      <c r="AZ131" s="152"/>
      <c r="BA131" s="152"/>
      <c r="BB131" s="152"/>
      <c r="BC131" s="152"/>
      <c r="BD131" s="152"/>
      <c r="BE131" s="152"/>
      <c r="BF131" s="152"/>
    </row>
    <row r="132" ht="17.25" customHeight="1" spans="1:17">
      <c r="A132" s="134"/>
      <c r="B132" s="109" t="s">
        <v>41</v>
      </c>
      <c r="C132" s="109"/>
      <c r="D132" s="109"/>
      <c r="E132" s="109"/>
      <c r="F132" s="109"/>
      <c r="G132" s="109"/>
      <c r="H132" s="76"/>
      <c r="I132" s="152"/>
      <c r="J132" s="152"/>
      <c r="K132" s="3"/>
      <c r="L132" s="3"/>
      <c r="M132" s="3"/>
      <c r="N132" s="3"/>
      <c r="O132" s="3"/>
      <c r="P132" s="3"/>
      <c r="Q132" s="3"/>
    </row>
    <row r="133" ht="17.25" customHeight="1" spans="1:17">
      <c r="A133" s="172" t="s">
        <v>13</v>
      </c>
      <c r="B133" s="173"/>
      <c r="C133" s="110"/>
      <c r="D133" s="173"/>
      <c r="E133" s="173"/>
      <c r="F133" s="298"/>
      <c r="G133" s="298"/>
      <c r="H133" s="76"/>
      <c r="I133" s="152"/>
      <c r="J133" s="152"/>
      <c r="K133" s="3"/>
      <c r="L133" s="3"/>
      <c r="M133" s="3"/>
      <c r="N133" s="3"/>
      <c r="O133" s="3"/>
      <c r="P133" s="3"/>
      <c r="Q133" s="3"/>
    </row>
    <row r="134" s="1" customFormat="1" customHeight="1" spans="1:58">
      <c r="A134" s="175"/>
      <c r="B134" s="82" t="s">
        <v>80</v>
      </c>
      <c r="C134" s="83">
        <v>160</v>
      </c>
      <c r="D134" s="299">
        <v>9.57</v>
      </c>
      <c r="E134" s="300">
        <v>6.49</v>
      </c>
      <c r="F134" s="301">
        <v>20.8</v>
      </c>
      <c r="G134" s="260">
        <f>(D134*4)+(E134*9)+(F134*4)</f>
        <v>179.89</v>
      </c>
      <c r="H134" s="53" t="s">
        <v>81</v>
      </c>
      <c r="I134" s="152"/>
      <c r="J134" s="152"/>
      <c r="K134" s="152"/>
      <c r="L134" s="152"/>
      <c r="M134" s="152"/>
      <c r="N134" s="152"/>
      <c r="O134" s="152"/>
      <c r="P134" s="152"/>
      <c r="Q134" s="152"/>
      <c r="R134" s="152"/>
      <c r="S134" s="152"/>
      <c r="T134" s="152"/>
      <c r="U134" s="152"/>
      <c r="V134" s="152"/>
      <c r="W134" s="152"/>
      <c r="X134" s="152"/>
      <c r="Y134" s="152"/>
      <c r="Z134" s="152"/>
      <c r="AA134" s="152"/>
      <c r="AB134" s="152"/>
      <c r="AC134" s="152"/>
      <c r="AD134" s="152"/>
      <c r="AE134" s="152"/>
      <c r="AF134" s="152"/>
      <c r="AG134" s="152"/>
      <c r="AH134" s="152"/>
      <c r="AI134" s="152"/>
      <c r="AJ134" s="152"/>
      <c r="AK134" s="152"/>
      <c r="AL134" s="152"/>
      <c r="AM134" s="152"/>
      <c r="AN134" s="152"/>
      <c r="AO134" s="152"/>
      <c r="AP134" s="152"/>
      <c r="AQ134" s="152"/>
      <c r="AR134" s="152"/>
      <c r="AS134" s="152"/>
      <c r="AT134" s="152"/>
      <c r="AU134" s="152"/>
      <c r="AV134" s="152"/>
      <c r="AW134" s="152"/>
      <c r="AX134" s="152"/>
      <c r="AY134" s="152"/>
      <c r="AZ134" s="152"/>
      <c r="BA134" s="152"/>
      <c r="BB134" s="152"/>
      <c r="BC134" s="152"/>
      <c r="BD134" s="152"/>
      <c r="BE134" s="152"/>
      <c r="BF134" s="152"/>
    </row>
    <row r="135" s="1" customFormat="1" customHeight="1" spans="1:58">
      <c r="A135" s="211"/>
      <c r="B135" s="55" t="s">
        <v>82</v>
      </c>
      <c r="C135" s="56">
        <v>15</v>
      </c>
      <c r="D135" s="188">
        <v>1.9</v>
      </c>
      <c r="E135" s="189">
        <v>5.2</v>
      </c>
      <c r="F135" s="190">
        <v>5.7</v>
      </c>
      <c r="G135" s="260">
        <f t="shared" ref="G135:G139" si="30">(D135*4)+(E135*9)+(F135*4)</f>
        <v>77.2</v>
      </c>
      <c r="H135" s="212" t="s">
        <v>118</v>
      </c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  <c r="T135" s="152"/>
      <c r="U135" s="152"/>
      <c r="V135" s="152"/>
      <c r="W135" s="152"/>
      <c r="X135" s="152"/>
      <c r="Y135" s="152"/>
      <c r="Z135" s="152"/>
      <c r="AA135" s="152"/>
      <c r="AB135" s="152"/>
      <c r="AC135" s="152"/>
      <c r="AD135" s="152"/>
      <c r="AE135" s="152"/>
      <c r="AF135" s="152"/>
      <c r="AG135" s="152"/>
      <c r="AH135" s="152"/>
      <c r="AI135" s="152"/>
      <c r="AJ135" s="152"/>
      <c r="AK135" s="152"/>
      <c r="AL135" s="152"/>
      <c r="AM135" s="152"/>
      <c r="AN135" s="152"/>
      <c r="AO135" s="152"/>
      <c r="AP135" s="152"/>
      <c r="AQ135" s="152"/>
      <c r="AR135" s="152"/>
      <c r="AS135" s="152"/>
      <c r="AT135" s="152"/>
      <c r="AU135" s="152"/>
      <c r="AV135" s="152"/>
      <c r="AW135" s="152"/>
      <c r="AX135" s="152"/>
      <c r="AY135" s="152"/>
      <c r="AZ135" s="152"/>
      <c r="BA135" s="152"/>
      <c r="BB135" s="152"/>
      <c r="BC135" s="152"/>
      <c r="BD135" s="152"/>
      <c r="BE135" s="152"/>
      <c r="BF135" s="152"/>
    </row>
    <row r="136" s="1" customFormat="1" customHeight="1" spans="1:58">
      <c r="A136" s="211"/>
      <c r="B136" s="55" t="s">
        <v>68</v>
      </c>
      <c r="C136" s="56">
        <v>200</v>
      </c>
      <c r="D136" s="261">
        <v>0.3</v>
      </c>
      <c r="E136" s="262">
        <v>0.01</v>
      </c>
      <c r="F136" s="263">
        <v>15.2</v>
      </c>
      <c r="G136" s="260">
        <f t="shared" si="30"/>
        <v>62.09</v>
      </c>
      <c r="H136" s="212" t="s">
        <v>69</v>
      </c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  <c r="Y136" s="152"/>
      <c r="Z136" s="152"/>
      <c r="AA136" s="152"/>
      <c r="AB136" s="152"/>
      <c r="AC136" s="152"/>
      <c r="AD136" s="152"/>
      <c r="AE136" s="152"/>
      <c r="AF136" s="152"/>
      <c r="AG136" s="152"/>
      <c r="AH136" s="152"/>
      <c r="AI136" s="152"/>
      <c r="AJ136" s="152"/>
      <c r="AK136" s="152"/>
      <c r="AL136" s="152"/>
      <c r="AM136" s="152"/>
      <c r="AN136" s="152"/>
      <c r="AO136" s="152"/>
      <c r="AP136" s="152"/>
      <c r="AQ136" s="152"/>
      <c r="AR136" s="152"/>
      <c r="AS136" s="152"/>
      <c r="AT136" s="152"/>
      <c r="AU136" s="152"/>
      <c r="AV136" s="152"/>
      <c r="AW136" s="152"/>
      <c r="AX136" s="152"/>
      <c r="AY136" s="152"/>
      <c r="AZ136" s="152"/>
      <c r="BA136" s="152"/>
      <c r="BB136" s="152"/>
      <c r="BC136" s="152"/>
      <c r="BD136" s="152"/>
      <c r="BE136" s="152"/>
      <c r="BF136" s="152"/>
    </row>
    <row r="137" s="1" customFormat="1" customHeight="1" spans="1:58">
      <c r="A137" s="211"/>
      <c r="B137" s="55" t="s">
        <v>22</v>
      </c>
      <c r="C137" s="56">
        <v>40</v>
      </c>
      <c r="D137" s="138">
        <v>3.04</v>
      </c>
      <c r="E137" s="139">
        <v>0.4</v>
      </c>
      <c r="F137" s="140">
        <v>24.6</v>
      </c>
      <c r="G137" s="260">
        <f t="shared" si="30"/>
        <v>114.16</v>
      </c>
      <c r="H137" s="212" t="s">
        <v>23</v>
      </c>
      <c r="I137" s="152"/>
      <c r="J137" s="152"/>
      <c r="K137" s="152"/>
      <c r="L137" s="152"/>
      <c r="M137" s="152"/>
      <c r="N137" s="152"/>
      <c r="O137" s="152"/>
      <c r="P137" s="152"/>
      <c r="Q137" s="152"/>
      <c r="R137" s="152"/>
      <c r="S137" s="152"/>
      <c r="T137" s="152"/>
      <c r="U137" s="152"/>
      <c r="V137" s="152"/>
      <c r="W137" s="152"/>
      <c r="X137" s="152"/>
      <c r="Y137" s="152"/>
      <c r="Z137" s="152"/>
      <c r="AA137" s="152"/>
      <c r="AB137" s="152"/>
      <c r="AC137" s="152"/>
      <c r="AD137" s="152"/>
      <c r="AE137" s="152"/>
      <c r="AF137" s="152"/>
      <c r="AG137" s="152"/>
      <c r="AH137" s="152"/>
      <c r="AI137" s="152"/>
      <c r="AJ137" s="152"/>
      <c r="AK137" s="152"/>
      <c r="AL137" s="152"/>
      <c r="AM137" s="152"/>
      <c r="AN137" s="152"/>
      <c r="AO137" s="152"/>
      <c r="AP137" s="152"/>
      <c r="AQ137" s="152"/>
      <c r="AR137" s="152"/>
      <c r="AS137" s="152"/>
      <c r="AT137" s="152"/>
      <c r="AU137" s="152"/>
      <c r="AV137" s="152"/>
      <c r="AW137" s="152"/>
      <c r="AX137" s="152"/>
      <c r="AY137" s="152"/>
      <c r="AZ137" s="152"/>
      <c r="BA137" s="152"/>
      <c r="BB137" s="152"/>
      <c r="BC137" s="152"/>
      <c r="BD137" s="152"/>
      <c r="BE137" s="152"/>
      <c r="BF137" s="152"/>
    </row>
    <row r="138" s="1" customFormat="1" customHeight="1" spans="1:58">
      <c r="A138" s="181"/>
      <c r="B138" s="89" t="s">
        <v>86</v>
      </c>
      <c r="C138" s="194">
        <v>100</v>
      </c>
      <c r="D138" s="245">
        <v>0.4</v>
      </c>
      <c r="E138" s="246">
        <v>0.4</v>
      </c>
      <c r="F138" s="247">
        <v>9.8</v>
      </c>
      <c r="G138" s="260">
        <f t="shared" si="30"/>
        <v>44.4</v>
      </c>
      <c r="H138" s="179" t="s">
        <v>23</v>
      </c>
      <c r="I138" s="152"/>
      <c r="J138" s="152"/>
      <c r="K138" s="152"/>
      <c r="L138" s="152"/>
      <c r="M138" s="152"/>
      <c r="N138" s="152"/>
      <c r="O138" s="152"/>
      <c r="P138" s="152"/>
      <c r="Q138" s="152"/>
      <c r="R138" s="152"/>
      <c r="S138" s="152"/>
      <c r="T138" s="152"/>
      <c r="U138" s="152"/>
      <c r="V138" s="152"/>
      <c r="W138" s="152"/>
      <c r="X138" s="152"/>
      <c r="Y138" s="152"/>
      <c r="Z138" s="152"/>
      <c r="AA138" s="152"/>
      <c r="AB138" s="152"/>
      <c r="AC138" s="152"/>
      <c r="AD138" s="152"/>
      <c r="AE138" s="152"/>
      <c r="AF138" s="152"/>
      <c r="AG138" s="152"/>
      <c r="AH138" s="152"/>
      <c r="AI138" s="152"/>
      <c r="AJ138" s="152"/>
      <c r="AK138" s="152"/>
      <c r="AL138" s="152"/>
      <c r="AM138" s="152"/>
      <c r="AN138" s="152"/>
      <c r="AO138" s="152"/>
      <c r="AP138" s="152"/>
      <c r="AQ138" s="152"/>
      <c r="AR138" s="152"/>
      <c r="AS138" s="152"/>
      <c r="AT138" s="152"/>
      <c r="AU138" s="152"/>
      <c r="AV138" s="152"/>
      <c r="AW138" s="152"/>
      <c r="AX138" s="152"/>
      <c r="AY138" s="152"/>
      <c r="AZ138" s="152"/>
      <c r="BA138" s="152"/>
      <c r="BB138" s="152"/>
      <c r="BC138" s="152"/>
      <c r="BD138" s="152"/>
      <c r="BE138" s="152"/>
      <c r="BF138" s="152"/>
    </row>
    <row r="139" s="1" customFormat="1" ht="31" customHeight="1" spans="1:58">
      <c r="A139" s="88"/>
      <c r="B139" s="137" t="s">
        <v>66</v>
      </c>
      <c r="C139" s="90" t="s">
        <v>67</v>
      </c>
      <c r="D139" s="138">
        <v>1</v>
      </c>
      <c r="E139" s="139">
        <v>0.1</v>
      </c>
      <c r="F139" s="140">
        <v>80</v>
      </c>
      <c r="G139" s="260">
        <f t="shared" si="30"/>
        <v>324.9</v>
      </c>
      <c r="H139" s="68" t="s">
        <v>23</v>
      </c>
      <c r="I139" s="152"/>
      <c r="J139" s="152"/>
      <c r="K139" s="152"/>
      <c r="L139" s="152"/>
      <c r="M139" s="152"/>
      <c r="N139" s="152"/>
      <c r="O139" s="152"/>
      <c r="P139" s="152"/>
      <c r="Q139" s="152"/>
      <c r="R139" s="152"/>
      <c r="S139" s="152"/>
      <c r="T139" s="152"/>
      <c r="U139" s="152"/>
      <c r="V139" s="152"/>
      <c r="W139" s="152"/>
      <c r="X139" s="152"/>
      <c r="Y139" s="152"/>
      <c r="Z139" s="152"/>
      <c r="AA139" s="152"/>
      <c r="AB139" s="152"/>
      <c r="AC139" s="152"/>
      <c r="AD139" s="152"/>
      <c r="AE139" s="152"/>
      <c r="AF139" s="152"/>
      <c r="AG139" s="152"/>
      <c r="AH139" s="152"/>
      <c r="AI139" s="152"/>
      <c r="AJ139" s="152"/>
      <c r="AK139" s="152"/>
      <c r="AL139" s="152"/>
      <c r="AM139" s="152"/>
      <c r="AN139" s="152"/>
      <c r="AO139" s="152"/>
      <c r="AP139" s="152"/>
      <c r="AQ139" s="152"/>
      <c r="AR139" s="152"/>
      <c r="AS139" s="152"/>
      <c r="AT139" s="152"/>
      <c r="AU139" s="152"/>
      <c r="AV139" s="152"/>
      <c r="AW139" s="152"/>
      <c r="AX139" s="152"/>
      <c r="AY139" s="152"/>
      <c r="AZ139" s="152"/>
      <c r="BA139" s="152"/>
      <c r="BB139" s="152"/>
      <c r="BC139" s="152"/>
      <c r="BD139" s="152"/>
      <c r="BE139" s="152"/>
      <c r="BF139" s="152"/>
    </row>
    <row r="140" s="1" customFormat="1" customHeight="1" spans="1:58">
      <c r="A140" s="278" t="s">
        <v>25</v>
      </c>
      <c r="B140" s="284"/>
      <c r="C140" s="209">
        <f>SUM(C134:C138)+200+15+7</f>
        <v>737</v>
      </c>
      <c r="D140" s="322">
        <f t="shared" ref="D140:G140" si="31">SUM(D134:D138)</f>
        <v>15.21</v>
      </c>
      <c r="E140" s="323">
        <f t="shared" si="31"/>
        <v>12.5</v>
      </c>
      <c r="F140" s="324">
        <f t="shared" si="31"/>
        <v>76.1</v>
      </c>
      <c r="G140" s="325">
        <f t="shared" si="31"/>
        <v>477.74</v>
      </c>
      <c r="H140" s="180"/>
      <c r="I140" s="152"/>
      <c r="J140" s="152"/>
      <c r="K140" s="152"/>
      <c r="L140" s="152"/>
      <c r="M140" s="152"/>
      <c r="N140" s="152"/>
      <c r="O140" s="152"/>
      <c r="P140" s="152"/>
      <c r="Q140" s="152"/>
      <c r="R140" s="152"/>
      <c r="S140" s="152"/>
      <c r="T140" s="152"/>
      <c r="U140" s="152"/>
      <c r="V140" s="152"/>
      <c r="W140" s="152"/>
      <c r="X140" s="152"/>
      <c r="Y140" s="152"/>
      <c r="Z140" s="152"/>
      <c r="AA140" s="152"/>
      <c r="AB140" s="152"/>
      <c r="AC140" s="152"/>
      <c r="AD140" s="152"/>
      <c r="AE140" s="152"/>
      <c r="AF140" s="152"/>
      <c r="AG140" s="152"/>
      <c r="AH140" s="152"/>
      <c r="AI140" s="152"/>
      <c r="AJ140" s="152"/>
      <c r="AK140" s="152"/>
      <c r="AL140" s="152"/>
      <c r="AM140" s="152"/>
      <c r="AN140" s="152"/>
      <c r="AO140" s="152"/>
      <c r="AP140" s="152"/>
      <c r="AQ140" s="152"/>
      <c r="AR140" s="152"/>
      <c r="AS140" s="152"/>
      <c r="AT140" s="152"/>
      <c r="AU140" s="152"/>
      <c r="AV140" s="152"/>
      <c r="AW140" s="152"/>
      <c r="AX140" s="152"/>
      <c r="AY140" s="152"/>
      <c r="AZ140" s="152"/>
      <c r="BA140" s="152"/>
      <c r="BB140" s="152"/>
      <c r="BC140" s="152"/>
      <c r="BD140" s="152"/>
      <c r="BE140" s="152"/>
      <c r="BF140" s="152"/>
    </row>
    <row r="141" ht="17.25" customHeight="1" spans="1:17">
      <c r="A141" s="147" t="s">
        <v>26</v>
      </c>
      <c r="B141" s="289"/>
      <c r="C141" s="124"/>
      <c r="D141" s="326"/>
      <c r="E141" s="326"/>
      <c r="F141" s="256"/>
      <c r="G141" s="256"/>
      <c r="H141" s="180"/>
      <c r="I141" s="153"/>
      <c r="J141" s="152"/>
      <c r="K141" s="3"/>
      <c r="L141" s="3"/>
      <c r="M141" s="3"/>
      <c r="N141" s="3"/>
      <c r="O141" s="3"/>
      <c r="P141" s="3"/>
      <c r="Q141" s="3"/>
    </row>
    <row r="142" s="1" customFormat="1" customHeight="1" spans="1:58">
      <c r="A142" s="207"/>
      <c r="B142" s="82" t="s">
        <v>119</v>
      </c>
      <c r="C142" s="83">
        <v>250</v>
      </c>
      <c r="D142" s="299">
        <v>2.5</v>
      </c>
      <c r="E142" s="300">
        <v>5.2</v>
      </c>
      <c r="F142" s="301">
        <v>18.3</v>
      </c>
      <c r="G142" s="260">
        <f>(D142*4)+(E142*9)+(F142*4)</f>
        <v>130</v>
      </c>
      <c r="H142" s="87" t="s">
        <v>120</v>
      </c>
      <c r="I142" s="152"/>
      <c r="J142" s="152"/>
      <c r="K142" s="152"/>
      <c r="L142" s="152"/>
      <c r="M142" s="152"/>
      <c r="N142" s="152"/>
      <c r="O142" s="152"/>
      <c r="P142" s="152"/>
      <c r="Q142" s="152"/>
      <c r="R142" s="152"/>
      <c r="S142" s="152"/>
      <c r="T142" s="152"/>
      <c r="U142" s="152"/>
      <c r="V142" s="152"/>
      <c r="W142" s="152"/>
      <c r="X142" s="152"/>
      <c r="Y142" s="152"/>
      <c r="Z142" s="152"/>
      <c r="AA142" s="152"/>
      <c r="AB142" s="152"/>
      <c r="AC142" s="152"/>
      <c r="AD142" s="152"/>
      <c r="AE142" s="152"/>
      <c r="AF142" s="152"/>
      <c r="AG142" s="152"/>
      <c r="AH142" s="152"/>
      <c r="AI142" s="152"/>
      <c r="AJ142" s="152"/>
      <c r="AK142" s="152"/>
      <c r="AL142" s="152"/>
      <c r="AM142" s="152"/>
      <c r="AN142" s="152"/>
      <c r="AO142" s="152"/>
      <c r="AP142" s="152"/>
      <c r="AQ142" s="152"/>
      <c r="AR142" s="152"/>
      <c r="AS142" s="152"/>
      <c r="AT142" s="152"/>
      <c r="AU142" s="152"/>
      <c r="AV142" s="152"/>
      <c r="AW142" s="152"/>
      <c r="AX142" s="152"/>
      <c r="AY142" s="152"/>
      <c r="AZ142" s="152"/>
      <c r="BA142" s="152"/>
      <c r="BB142" s="152"/>
      <c r="BC142" s="152"/>
      <c r="BD142" s="152"/>
      <c r="BE142" s="152"/>
      <c r="BF142" s="152"/>
    </row>
    <row r="143" s="1" customFormat="1" customHeight="1" spans="1:58">
      <c r="A143" s="61"/>
      <c r="B143" s="55" t="s">
        <v>121</v>
      </c>
      <c r="C143" s="56">
        <v>90</v>
      </c>
      <c r="D143" s="299">
        <v>20.63</v>
      </c>
      <c r="E143" s="300">
        <v>16.3</v>
      </c>
      <c r="F143" s="301">
        <v>5.24</v>
      </c>
      <c r="G143" s="260">
        <f t="shared" ref="G143:G147" si="32">(D143*4)+(E143*9)+(F143*4)</f>
        <v>250.18</v>
      </c>
      <c r="H143" s="62" t="s">
        <v>122</v>
      </c>
      <c r="I143" s="152"/>
      <c r="J143" s="152"/>
      <c r="K143" s="152"/>
      <c r="L143" s="152"/>
      <c r="M143" s="152"/>
      <c r="N143" s="152"/>
      <c r="O143" s="152"/>
      <c r="P143" s="152"/>
      <c r="Q143" s="152"/>
      <c r="R143" s="152"/>
      <c r="S143" s="152"/>
      <c r="T143" s="152"/>
      <c r="U143" s="152"/>
      <c r="V143" s="152"/>
      <c r="W143" s="152"/>
      <c r="X143" s="152"/>
      <c r="Y143" s="152"/>
      <c r="Z143" s="152"/>
      <c r="AA143" s="152"/>
      <c r="AB143" s="152"/>
      <c r="AC143" s="152"/>
      <c r="AD143" s="152"/>
      <c r="AE143" s="152"/>
      <c r="AF143" s="152"/>
      <c r="AG143" s="152"/>
      <c r="AH143" s="152"/>
      <c r="AI143" s="152"/>
      <c r="AJ143" s="152"/>
      <c r="AK143" s="152"/>
      <c r="AL143" s="152"/>
      <c r="AM143" s="152"/>
      <c r="AN143" s="152"/>
      <c r="AO143" s="152"/>
      <c r="AP143" s="152"/>
      <c r="AQ143" s="152"/>
      <c r="AR143" s="152"/>
      <c r="AS143" s="152"/>
      <c r="AT143" s="152"/>
      <c r="AU143" s="152"/>
      <c r="AV143" s="152"/>
      <c r="AW143" s="152"/>
      <c r="AX143" s="152"/>
      <c r="AY143" s="152"/>
      <c r="AZ143" s="152"/>
      <c r="BA143" s="152"/>
      <c r="BB143" s="152"/>
      <c r="BC143" s="152"/>
      <c r="BD143" s="152"/>
      <c r="BE143" s="152"/>
      <c r="BF143" s="152"/>
    </row>
    <row r="144" s="1" customFormat="1" customHeight="1" spans="1:58">
      <c r="A144" s="61"/>
      <c r="B144" s="55" t="s">
        <v>52</v>
      </c>
      <c r="C144" s="56">
        <v>150</v>
      </c>
      <c r="D144" s="138">
        <v>6.3</v>
      </c>
      <c r="E144" s="139">
        <v>4.5</v>
      </c>
      <c r="F144" s="140">
        <v>38.8</v>
      </c>
      <c r="G144" s="260">
        <f t="shared" si="32"/>
        <v>220.9</v>
      </c>
      <c r="H144" s="62" t="s">
        <v>99</v>
      </c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52"/>
      <c r="Y144" s="152"/>
      <c r="Z144" s="152"/>
      <c r="AA144" s="152"/>
      <c r="AB144" s="152"/>
      <c r="AC144" s="152"/>
      <c r="AD144" s="152"/>
      <c r="AE144" s="152"/>
      <c r="AF144" s="152"/>
      <c r="AG144" s="152"/>
      <c r="AH144" s="152"/>
      <c r="AI144" s="152"/>
      <c r="AJ144" s="152"/>
      <c r="AK144" s="152"/>
      <c r="AL144" s="152"/>
      <c r="AM144" s="152"/>
      <c r="AN144" s="152"/>
      <c r="AO144" s="152"/>
      <c r="AP144" s="152"/>
      <c r="AQ144" s="152"/>
      <c r="AR144" s="152"/>
      <c r="AS144" s="152"/>
      <c r="AT144" s="152"/>
      <c r="AU144" s="152"/>
      <c r="AV144" s="152"/>
      <c r="AW144" s="152"/>
      <c r="AX144" s="152"/>
      <c r="AY144" s="152"/>
      <c r="AZ144" s="152"/>
      <c r="BA144" s="152"/>
      <c r="BB144" s="152"/>
      <c r="BC144" s="152"/>
      <c r="BD144" s="152"/>
      <c r="BE144" s="152"/>
      <c r="BF144" s="152"/>
    </row>
    <row r="145" s="1" customFormat="1" customHeight="1" spans="1:58">
      <c r="A145" s="61"/>
      <c r="B145" s="55" t="s">
        <v>44</v>
      </c>
      <c r="C145" s="56">
        <v>60</v>
      </c>
      <c r="D145" s="138">
        <v>1.86</v>
      </c>
      <c r="E145" s="139">
        <v>0.12</v>
      </c>
      <c r="F145" s="140">
        <v>3.9</v>
      </c>
      <c r="G145" s="260">
        <f t="shared" si="32"/>
        <v>24.12</v>
      </c>
      <c r="H145" s="62" t="s">
        <v>45</v>
      </c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52"/>
      <c r="Y145" s="152"/>
      <c r="Z145" s="152"/>
      <c r="AA145" s="152"/>
      <c r="AB145" s="152"/>
      <c r="AC145" s="152"/>
      <c r="AD145" s="152"/>
      <c r="AE145" s="152"/>
      <c r="AF145" s="152"/>
      <c r="AG145" s="152"/>
      <c r="AH145" s="152"/>
      <c r="AI145" s="152"/>
      <c r="AJ145" s="152"/>
      <c r="AK145" s="152"/>
      <c r="AL145" s="152"/>
      <c r="AM145" s="152"/>
      <c r="AN145" s="152"/>
      <c r="AO145" s="152"/>
      <c r="AP145" s="152"/>
      <c r="AQ145" s="152"/>
      <c r="AR145" s="152"/>
      <c r="AS145" s="152"/>
      <c r="AT145" s="152"/>
      <c r="AU145" s="152"/>
      <c r="AV145" s="152"/>
      <c r="AW145" s="152"/>
      <c r="AX145" s="152"/>
      <c r="AY145" s="152"/>
      <c r="AZ145" s="152"/>
      <c r="BA145" s="152"/>
      <c r="BB145" s="152"/>
      <c r="BC145" s="152"/>
      <c r="BD145" s="152"/>
      <c r="BE145" s="152"/>
      <c r="BF145" s="152"/>
    </row>
    <row r="146" s="1" customFormat="1" customHeight="1" spans="1:58">
      <c r="A146" s="61"/>
      <c r="B146" s="55" t="s">
        <v>36</v>
      </c>
      <c r="C146" s="56" t="s">
        <v>37</v>
      </c>
      <c r="D146" s="138">
        <v>7.34</v>
      </c>
      <c r="E146" s="139">
        <v>2.1</v>
      </c>
      <c r="F146" s="140">
        <v>45.9</v>
      </c>
      <c r="G146" s="260">
        <f t="shared" si="32"/>
        <v>231.86</v>
      </c>
      <c r="H146" s="62" t="s">
        <v>23</v>
      </c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52"/>
      <c r="Y146" s="152"/>
      <c r="Z146" s="152"/>
      <c r="AA146" s="152"/>
      <c r="AB146" s="152"/>
      <c r="AC146" s="152"/>
      <c r="AD146" s="152"/>
      <c r="AE146" s="152"/>
      <c r="AF146" s="152"/>
      <c r="AG146" s="152"/>
      <c r="AH146" s="152"/>
      <c r="AI146" s="152"/>
      <c r="AJ146" s="152"/>
      <c r="AK146" s="152"/>
      <c r="AL146" s="152"/>
      <c r="AM146" s="152"/>
      <c r="AN146" s="152"/>
      <c r="AO146" s="152"/>
      <c r="AP146" s="152"/>
      <c r="AQ146" s="152"/>
      <c r="AR146" s="152"/>
      <c r="AS146" s="152"/>
      <c r="AT146" s="152"/>
      <c r="AU146" s="152"/>
      <c r="AV146" s="152"/>
      <c r="AW146" s="152"/>
      <c r="AX146" s="152"/>
      <c r="AY146" s="152"/>
      <c r="AZ146" s="152"/>
      <c r="BA146" s="152"/>
      <c r="BB146" s="152"/>
      <c r="BC146" s="152"/>
      <c r="BD146" s="152"/>
      <c r="BE146" s="152"/>
      <c r="BF146" s="152"/>
    </row>
    <row r="147" s="1" customFormat="1" customHeight="1" spans="1:58">
      <c r="A147" s="88"/>
      <c r="B147" s="89" t="s">
        <v>38</v>
      </c>
      <c r="C147" s="90">
        <v>200</v>
      </c>
      <c r="D147" s="261">
        <v>0.6</v>
      </c>
      <c r="E147" s="262">
        <v>0.09</v>
      </c>
      <c r="F147" s="263">
        <v>17.3</v>
      </c>
      <c r="G147" s="260">
        <f t="shared" si="32"/>
        <v>72.41</v>
      </c>
      <c r="H147" s="68" t="s">
        <v>123</v>
      </c>
      <c r="I147" s="152"/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  <c r="T147" s="152"/>
      <c r="U147" s="152"/>
      <c r="V147" s="152"/>
      <c r="W147" s="152"/>
      <c r="X147" s="152"/>
      <c r="Y147" s="152"/>
      <c r="Z147" s="152"/>
      <c r="AA147" s="152"/>
      <c r="AB147" s="152"/>
      <c r="AC147" s="152"/>
      <c r="AD147" s="152"/>
      <c r="AE147" s="152"/>
      <c r="AF147" s="152"/>
      <c r="AG147" s="152"/>
      <c r="AH147" s="152"/>
      <c r="AI147" s="152"/>
      <c r="AJ147" s="152"/>
      <c r="AK147" s="152"/>
      <c r="AL147" s="152"/>
      <c r="AM147" s="152"/>
      <c r="AN147" s="152"/>
      <c r="AO147" s="152"/>
      <c r="AP147" s="152"/>
      <c r="AQ147" s="152"/>
      <c r="AR147" s="152"/>
      <c r="AS147" s="152"/>
      <c r="AT147" s="152"/>
      <c r="AU147" s="152"/>
      <c r="AV147" s="152"/>
      <c r="AW147" s="152"/>
      <c r="AX147" s="152"/>
      <c r="AY147" s="152"/>
      <c r="AZ147" s="152"/>
      <c r="BA147" s="152"/>
      <c r="BB147" s="152"/>
      <c r="BC147" s="152"/>
      <c r="BD147" s="152"/>
      <c r="BE147" s="152"/>
      <c r="BF147" s="152"/>
    </row>
    <row r="148" s="1" customFormat="1" customHeight="1" spans="1:58">
      <c r="A148" s="264" t="s">
        <v>25</v>
      </c>
      <c r="B148" s="265"/>
      <c r="C148" s="182">
        <f>SUM(C142:C147)+100</f>
        <v>850</v>
      </c>
      <c r="D148" s="314">
        <f t="shared" ref="D148:G148" si="33">SUM(D142:D147)</f>
        <v>39.23</v>
      </c>
      <c r="E148" s="315">
        <f t="shared" si="33"/>
        <v>28.31</v>
      </c>
      <c r="F148" s="316">
        <f t="shared" si="33"/>
        <v>129.44</v>
      </c>
      <c r="G148" s="317">
        <f t="shared" si="33"/>
        <v>929.47</v>
      </c>
      <c r="H148" s="81"/>
      <c r="I148" s="152"/>
      <c r="J148" s="152"/>
      <c r="K148" s="152"/>
      <c r="L148" s="152"/>
      <c r="M148" s="152"/>
      <c r="N148" s="152"/>
      <c r="O148" s="152"/>
      <c r="P148" s="152"/>
      <c r="Q148" s="152"/>
      <c r="R148" s="152"/>
      <c r="S148" s="152"/>
      <c r="T148" s="152"/>
      <c r="U148" s="152"/>
      <c r="V148" s="152"/>
      <c r="W148" s="152"/>
      <c r="X148" s="152"/>
      <c r="Y148" s="152"/>
      <c r="Z148" s="152"/>
      <c r="AA148" s="152"/>
      <c r="AB148" s="152"/>
      <c r="AC148" s="152"/>
      <c r="AD148" s="152"/>
      <c r="AE148" s="152"/>
      <c r="AF148" s="152"/>
      <c r="AG148" s="152"/>
      <c r="AH148" s="152"/>
      <c r="AI148" s="152"/>
      <c r="AJ148" s="152"/>
      <c r="AK148" s="152"/>
      <c r="AL148" s="152"/>
      <c r="AM148" s="152"/>
      <c r="AN148" s="152"/>
      <c r="AO148" s="152"/>
      <c r="AP148" s="152"/>
      <c r="AQ148" s="152"/>
      <c r="AR148" s="152"/>
      <c r="AS148" s="152"/>
      <c r="AT148" s="152"/>
      <c r="AU148" s="152"/>
      <c r="AV148" s="152"/>
      <c r="AW148" s="152"/>
      <c r="AX148" s="152"/>
      <c r="AY148" s="152"/>
      <c r="AZ148" s="152"/>
      <c r="BA148" s="152"/>
      <c r="BB148" s="152"/>
      <c r="BC148" s="152"/>
      <c r="BD148" s="152"/>
      <c r="BE148" s="152"/>
      <c r="BF148" s="152"/>
    </row>
    <row r="149" s="1" customFormat="1" customHeight="1" spans="1:58">
      <c r="A149" s="270" t="s">
        <v>40</v>
      </c>
      <c r="B149" s="265"/>
      <c r="C149" s="95">
        <f>C148+C140</f>
        <v>1587</v>
      </c>
      <c r="D149" s="306">
        <f t="shared" ref="D149:G149" si="34">D148+D140</f>
        <v>54.44</v>
      </c>
      <c r="E149" s="307">
        <f t="shared" si="34"/>
        <v>40.81</v>
      </c>
      <c r="F149" s="308">
        <f t="shared" si="34"/>
        <v>205.54</v>
      </c>
      <c r="G149" s="309">
        <f t="shared" si="34"/>
        <v>1407.21</v>
      </c>
      <c r="H149" s="76"/>
      <c r="I149" s="152"/>
      <c r="J149" s="152"/>
      <c r="K149" s="152"/>
      <c r="L149" s="152"/>
      <c r="M149" s="152"/>
      <c r="N149" s="152"/>
      <c r="O149" s="152"/>
      <c r="P149" s="152"/>
      <c r="Q149" s="152"/>
      <c r="R149" s="152"/>
      <c r="S149" s="152"/>
      <c r="T149" s="152"/>
      <c r="U149" s="152"/>
      <c r="V149" s="152"/>
      <c r="W149" s="152"/>
      <c r="X149" s="152"/>
      <c r="Y149" s="152"/>
      <c r="Z149" s="152"/>
      <c r="AA149" s="152"/>
      <c r="AB149" s="152"/>
      <c r="AC149" s="152"/>
      <c r="AD149" s="152"/>
      <c r="AE149" s="152"/>
      <c r="AF149" s="152"/>
      <c r="AG149" s="152"/>
      <c r="AH149" s="152"/>
      <c r="AI149" s="152"/>
      <c r="AJ149" s="152"/>
      <c r="AK149" s="152"/>
      <c r="AL149" s="152"/>
      <c r="AM149" s="152"/>
      <c r="AN149" s="152"/>
      <c r="AO149" s="152"/>
      <c r="AP149" s="152"/>
      <c r="AQ149" s="152"/>
      <c r="AR149" s="152"/>
      <c r="AS149" s="152"/>
      <c r="AT149" s="152"/>
      <c r="AU149" s="152"/>
      <c r="AV149" s="152"/>
      <c r="AW149" s="152"/>
      <c r="AX149" s="152"/>
      <c r="AY149" s="152"/>
      <c r="AZ149" s="152"/>
      <c r="BA149" s="152"/>
      <c r="BB149" s="152"/>
      <c r="BC149" s="152"/>
      <c r="BD149" s="152"/>
      <c r="BE149" s="152"/>
      <c r="BF149" s="152"/>
    </row>
    <row r="150" s="1" customFormat="1" customHeight="1" spans="1:58">
      <c r="A150" s="100"/>
      <c r="B150" s="101"/>
      <c r="C150" s="106"/>
      <c r="D150" s="296"/>
      <c r="E150" s="296"/>
      <c r="F150" s="296"/>
      <c r="G150" s="297"/>
      <c r="H150" s="76"/>
      <c r="I150" s="152"/>
      <c r="J150" s="152"/>
      <c r="K150" s="152"/>
      <c r="L150" s="152"/>
      <c r="M150" s="152"/>
      <c r="N150" s="152"/>
      <c r="O150" s="152"/>
      <c r="P150" s="152"/>
      <c r="Q150" s="152"/>
      <c r="R150" s="152"/>
      <c r="S150" s="152"/>
      <c r="T150" s="152"/>
      <c r="U150" s="152"/>
      <c r="V150" s="152"/>
      <c r="W150" s="152"/>
      <c r="X150" s="152"/>
      <c r="Y150" s="152"/>
      <c r="Z150" s="152"/>
      <c r="AA150" s="152"/>
      <c r="AB150" s="152"/>
      <c r="AC150" s="152"/>
      <c r="AD150" s="152"/>
      <c r="AE150" s="152"/>
      <c r="AF150" s="152"/>
      <c r="AG150" s="152"/>
      <c r="AH150" s="152"/>
      <c r="AI150" s="152"/>
      <c r="AJ150" s="152"/>
      <c r="AK150" s="152"/>
      <c r="AL150" s="152"/>
      <c r="AM150" s="152"/>
      <c r="AN150" s="152"/>
      <c r="AO150" s="152"/>
      <c r="AP150" s="152"/>
      <c r="AQ150" s="152"/>
      <c r="AR150" s="152"/>
      <c r="AS150" s="152"/>
      <c r="AT150" s="152"/>
      <c r="AU150" s="152"/>
      <c r="AV150" s="152"/>
      <c r="AW150" s="152"/>
      <c r="AX150" s="152"/>
      <c r="AY150" s="152"/>
      <c r="AZ150" s="152"/>
      <c r="BA150" s="152"/>
      <c r="BB150" s="152"/>
      <c r="BC150" s="152"/>
      <c r="BD150" s="152"/>
      <c r="BE150" s="152"/>
      <c r="BF150" s="152"/>
    </row>
    <row r="151" ht="17.25" customHeight="1" spans="1:17">
      <c r="A151" s="213"/>
      <c r="B151" s="109" t="s">
        <v>58</v>
      </c>
      <c r="C151" s="109"/>
      <c r="D151" s="109"/>
      <c r="E151" s="109"/>
      <c r="F151" s="109"/>
      <c r="G151" s="109"/>
      <c r="H151" s="76"/>
      <c r="J151" s="152"/>
      <c r="K151" s="3"/>
      <c r="L151" s="3"/>
      <c r="M151" s="3"/>
      <c r="N151" s="3"/>
      <c r="O151" s="3"/>
      <c r="P151" s="3"/>
      <c r="Q151" s="3"/>
    </row>
    <row r="152" ht="17.25" customHeight="1" spans="1:17">
      <c r="A152" s="172" t="s">
        <v>13</v>
      </c>
      <c r="B152" s="173"/>
      <c r="C152" s="110"/>
      <c r="D152" s="173"/>
      <c r="E152" s="173"/>
      <c r="F152" s="298"/>
      <c r="G152" s="298"/>
      <c r="H152" s="76"/>
      <c r="J152" s="152"/>
      <c r="K152" s="3"/>
      <c r="L152" s="3"/>
      <c r="M152" s="3"/>
      <c r="N152" s="3"/>
      <c r="O152" s="3"/>
      <c r="P152" s="3"/>
      <c r="Q152" s="3"/>
    </row>
    <row r="153" s="1" customFormat="1" customHeight="1" spans="1:58">
      <c r="A153" s="196"/>
      <c r="B153" s="55" t="s">
        <v>54</v>
      </c>
      <c r="C153" s="83">
        <v>60</v>
      </c>
      <c r="D153" s="138">
        <v>1</v>
      </c>
      <c r="E153" s="139">
        <v>0.4</v>
      </c>
      <c r="F153" s="140">
        <v>2.3</v>
      </c>
      <c r="G153" s="260">
        <f>(D153*4)+(E153*9)+(F153*4)</f>
        <v>16.8</v>
      </c>
      <c r="H153" s="197" t="s">
        <v>65</v>
      </c>
      <c r="I153" s="152"/>
      <c r="J153" s="152"/>
      <c r="K153" s="152"/>
      <c r="L153" s="152"/>
      <c r="M153" s="152"/>
      <c r="N153" s="152"/>
      <c r="O153" s="152"/>
      <c r="P153" s="152"/>
      <c r="Q153" s="152"/>
      <c r="R153" s="152"/>
      <c r="S153" s="152"/>
      <c r="T153" s="152"/>
      <c r="U153" s="152"/>
      <c r="V153" s="152"/>
      <c r="W153" s="152"/>
      <c r="X153" s="152"/>
      <c r="Y153" s="152"/>
      <c r="Z153" s="152"/>
      <c r="AA153" s="152"/>
      <c r="AB153" s="152"/>
      <c r="AC153" s="152"/>
      <c r="AD153" s="152"/>
      <c r="AE153" s="152"/>
      <c r="AF153" s="152"/>
      <c r="AG153" s="152"/>
      <c r="AH153" s="152"/>
      <c r="AI153" s="152"/>
      <c r="AJ153" s="152"/>
      <c r="AK153" s="152"/>
      <c r="AL153" s="152"/>
      <c r="AM153" s="152"/>
      <c r="AN153" s="152"/>
      <c r="AO153" s="152"/>
      <c r="AP153" s="152"/>
      <c r="AQ153" s="152"/>
      <c r="AR153" s="152"/>
      <c r="AS153" s="152"/>
      <c r="AT153" s="152"/>
      <c r="AU153" s="152"/>
      <c r="AV153" s="152"/>
      <c r="AW153" s="152"/>
      <c r="AX153" s="152"/>
      <c r="AY153" s="152"/>
      <c r="AZ153" s="152"/>
      <c r="BA153" s="152"/>
      <c r="BB153" s="152"/>
      <c r="BC153" s="152"/>
      <c r="BD153" s="152"/>
      <c r="BE153" s="152"/>
      <c r="BF153" s="152"/>
    </row>
    <row r="154" s="1" customFormat="1" customHeight="1" spans="1:58">
      <c r="A154" s="61"/>
      <c r="B154" s="55" t="s">
        <v>124</v>
      </c>
      <c r="C154" s="56">
        <v>100</v>
      </c>
      <c r="D154" s="188">
        <v>21.8</v>
      </c>
      <c r="E154" s="189">
        <v>8.71</v>
      </c>
      <c r="F154" s="190">
        <v>38.57</v>
      </c>
      <c r="G154" s="260">
        <f t="shared" ref="G154:G157" si="35">(D154*4)+(E154*9)+(F154*4)</f>
        <v>319.87</v>
      </c>
      <c r="H154" s="62" t="s">
        <v>125</v>
      </c>
      <c r="I154" s="152"/>
      <c r="J154" s="152"/>
      <c r="K154" s="152"/>
      <c r="L154" s="152"/>
      <c r="M154" s="152"/>
      <c r="N154" s="152"/>
      <c r="O154" s="152"/>
      <c r="P154" s="152"/>
      <c r="Q154" s="152"/>
      <c r="R154" s="152"/>
      <c r="S154" s="152"/>
      <c r="T154" s="152"/>
      <c r="U154" s="152"/>
      <c r="V154" s="152"/>
      <c r="W154" s="152"/>
      <c r="X154" s="152"/>
      <c r="Y154" s="152"/>
      <c r="Z154" s="152"/>
      <c r="AA154" s="152"/>
      <c r="AB154" s="152"/>
      <c r="AC154" s="152"/>
      <c r="AD154" s="152"/>
      <c r="AE154" s="152"/>
      <c r="AF154" s="152"/>
      <c r="AG154" s="152"/>
      <c r="AH154" s="152"/>
      <c r="AI154" s="152"/>
      <c r="AJ154" s="152"/>
      <c r="AK154" s="152"/>
      <c r="AL154" s="152"/>
      <c r="AM154" s="152"/>
      <c r="AN154" s="152"/>
      <c r="AO154" s="152"/>
      <c r="AP154" s="152"/>
      <c r="AQ154" s="152"/>
      <c r="AR154" s="152"/>
      <c r="AS154" s="152"/>
      <c r="AT154" s="152"/>
      <c r="AU154" s="152"/>
      <c r="AV154" s="152"/>
      <c r="AW154" s="152"/>
      <c r="AX154" s="152"/>
      <c r="AY154" s="152"/>
      <c r="AZ154" s="152"/>
      <c r="BA154" s="152"/>
      <c r="BB154" s="152"/>
      <c r="BC154" s="152"/>
      <c r="BD154" s="152"/>
      <c r="BE154" s="152"/>
      <c r="BF154" s="152"/>
    </row>
    <row r="155" s="1" customFormat="1" customHeight="1" spans="1:58">
      <c r="A155" s="61"/>
      <c r="B155" s="55" t="s">
        <v>126</v>
      </c>
      <c r="C155" s="56">
        <v>150</v>
      </c>
      <c r="D155" s="138">
        <v>1.42</v>
      </c>
      <c r="E155" s="139">
        <v>1.8</v>
      </c>
      <c r="F155" s="140">
        <v>10.3</v>
      </c>
      <c r="G155" s="260">
        <f t="shared" si="35"/>
        <v>63.08</v>
      </c>
      <c r="H155" s="62" t="s">
        <v>64</v>
      </c>
      <c r="I155" s="152"/>
      <c r="J155" s="152"/>
      <c r="K155" s="152"/>
      <c r="L155" s="152"/>
      <c r="M155" s="152"/>
      <c r="N155" s="152"/>
      <c r="O155" s="152"/>
      <c r="P155" s="152"/>
      <c r="Q155" s="152"/>
      <c r="R155" s="152"/>
      <c r="S155" s="152"/>
      <c r="T155" s="152"/>
      <c r="U155" s="152"/>
      <c r="V155" s="152"/>
      <c r="W155" s="152"/>
      <c r="X155" s="152"/>
      <c r="Y155" s="152"/>
      <c r="Z155" s="152"/>
      <c r="AA155" s="152"/>
      <c r="AB155" s="152"/>
      <c r="AC155" s="152"/>
      <c r="AD155" s="152"/>
      <c r="AE155" s="152"/>
      <c r="AF155" s="152"/>
      <c r="AG155" s="152"/>
      <c r="AH155" s="152"/>
      <c r="AI155" s="152"/>
      <c r="AJ155" s="152"/>
      <c r="AK155" s="152"/>
      <c r="AL155" s="152"/>
      <c r="AM155" s="152"/>
      <c r="AN155" s="152"/>
      <c r="AO155" s="152"/>
      <c r="AP155" s="152"/>
      <c r="AQ155" s="152"/>
      <c r="AR155" s="152"/>
      <c r="AS155" s="152"/>
      <c r="AT155" s="152"/>
      <c r="AU155" s="152"/>
      <c r="AV155" s="152"/>
      <c r="AW155" s="152"/>
      <c r="AX155" s="152"/>
      <c r="AY155" s="152"/>
      <c r="AZ155" s="152"/>
      <c r="BA155" s="152"/>
      <c r="BB155" s="152"/>
      <c r="BC155" s="152"/>
      <c r="BD155" s="152"/>
      <c r="BE155" s="152"/>
      <c r="BF155" s="152"/>
    </row>
    <row r="156" s="1" customFormat="1" customHeight="1" spans="1:58">
      <c r="A156" s="61"/>
      <c r="B156" s="177" t="s">
        <v>84</v>
      </c>
      <c r="C156" s="56">
        <v>200</v>
      </c>
      <c r="D156" s="188">
        <v>3.3</v>
      </c>
      <c r="E156" s="189">
        <v>3</v>
      </c>
      <c r="F156" s="190">
        <v>16.6</v>
      </c>
      <c r="G156" s="260">
        <f t="shared" si="35"/>
        <v>106.6</v>
      </c>
      <c r="H156" s="62" t="s">
        <v>127</v>
      </c>
      <c r="I156" s="152"/>
      <c r="J156" s="152"/>
      <c r="K156" s="152"/>
      <c r="L156" s="152"/>
      <c r="M156" s="152"/>
      <c r="N156" s="152"/>
      <c r="O156" s="152"/>
      <c r="P156" s="152"/>
      <c r="Q156" s="152"/>
      <c r="R156" s="152"/>
      <c r="S156" s="152"/>
      <c r="T156" s="152"/>
      <c r="U156" s="152"/>
      <c r="V156" s="152"/>
      <c r="W156" s="152"/>
      <c r="X156" s="152"/>
      <c r="Y156" s="152"/>
      <c r="Z156" s="152"/>
      <c r="AA156" s="152"/>
      <c r="AB156" s="152"/>
      <c r="AC156" s="152"/>
      <c r="AD156" s="152"/>
      <c r="AE156" s="152"/>
      <c r="AF156" s="152"/>
      <c r="AG156" s="152"/>
      <c r="AH156" s="152"/>
      <c r="AI156" s="152"/>
      <c r="AJ156" s="152"/>
      <c r="AK156" s="152"/>
      <c r="AL156" s="152"/>
      <c r="AM156" s="152"/>
      <c r="AN156" s="152"/>
      <c r="AO156" s="152"/>
      <c r="AP156" s="152"/>
      <c r="AQ156" s="152"/>
      <c r="AR156" s="152"/>
      <c r="AS156" s="152"/>
      <c r="AT156" s="152"/>
      <c r="AU156" s="152"/>
      <c r="AV156" s="152"/>
      <c r="AW156" s="152"/>
      <c r="AX156" s="152"/>
      <c r="AY156" s="152"/>
      <c r="AZ156" s="152"/>
      <c r="BA156" s="152"/>
      <c r="BB156" s="152"/>
      <c r="BC156" s="152"/>
      <c r="BD156" s="152"/>
      <c r="BE156" s="152"/>
      <c r="BF156" s="152"/>
    </row>
    <row r="157" s="1" customFormat="1" customHeight="1" spans="1:58">
      <c r="A157" s="88"/>
      <c r="B157" s="178" t="s">
        <v>22</v>
      </c>
      <c r="C157" s="194">
        <v>50</v>
      </c>
      <c r="D157" s="138">
        <v>3.04</v>
      </c>
      <c r="E157" s="139">
        <v>0.4</v>
      </c>
      <c r="F157" s="140">
        <v>24.6</v>
      </c>
      <c r="G157" s="260">
        <f t="shared" si="35"/>
        <v>114.16</v>
      </c>
      <c r="H157" s="68" t="s">
        <v>23</v>
      </c>
      <c r="I157" s="152"/>
      <c r="J157" s="152"/>
      <c r="K157" s="152"/>
      <c r="L157" s="152"/>
      <c r="M157" s="152"/>
      <c r="N157" s="152"/>
      <c r="O157" s="152"/>
      <c r="P157" s="152"/>
      <c r="Q157" s="152"/>
      <c r="R157" s="152"/>
      <c r="S157" s="152"/>
      <c r="T157" s="152"/>
      <c r="U157" s="152"/>
      <c r="V157" s="152"/>
      <c r="W157" s="152"/>
      <c r="X157" s="152"/>
      <c r="Y157" s="152"/>
      <c r="Z157" s="152"/>
      <c r="AA157" s="152"/>
      <c r="AB157" s="152"/>
      <c r="AC157" s="152"/>
      <c r="AD157" s="152"/>
      <c r="AE157" s="152"/>
      <c r="AF157" s="152"/>
      <c r="AG157" s="152"/>
      <c r="AH157" s="152"/>
      <c r="AI157" s="152"/>
      <c r="AJ157" s="152"/>
      <c r="AK157" s="152"/>
      <c r="AL157" s="152"/>
      <c r="AM157" s="152"/>
      <c r="AN157" s="152"/>
      <c r="AO157" s="152"/>
      <c r="AP157" s="152"/>
      <c r="AQ157" s="152"/>
      <c r="AR157" s="152"/>
      <c r="AS157" s="152"/>
      <c r="AT157" s="152"/>
      <c r="AU157" s="152"/>
      <c r="AV157" s="152"/>
      <c r="AW157" s="152"/>
      <c r="AX157" s="152"/>
      <c r="AY157" s="152"/>
      <c r="AZ157" s="152"/>
      <c r="BA157" s="152"/>
      <c r="BB157" s="152"/>
      <c r="BC157" s="152"/>
      <c r="BD157" s="152"/>
      <c r="BE157" s="152"/>
      <c r="BF157" s="152"/>
    </row>
    <row r="158" s="1" customFormat="1" customHeight="1" spans="1:58">
      <c r="A158" s="278" t="s">
        <v>25</v>
      </c>
      <c r="B158" s="284"/>
      <c r="C158" s="209">
        <f>SUM(C153:C157)+40</f>
        <v>600</v>
      </c>
      <c r="D158" s="322">
        <f t="shared" ref="D158:G158" si="36">SUM(D153:D157)</f>
        <v>30.56</v>
      </c>
      <c r="E158" s="323">
        <f t="shared" si="36"/>
        <v>14.31</v>
      </c>
      <c r="F158" s="324">
        <f t="shared" si="36"/>
        <v>92.37</v>
      </c>
      <c r="G158" s="325">
        <f t="shared" si="36"/>
        <v>620.51</v>
      </c>
      <c r="H158" s="76"/>
      <c r="I158" s="152"/>
      <c r="J158" s="152"/>
      <c r="K158" s="152"/>
      <c r="L158" s="152"/>
      <c r="M158" s="152"/>
      <c r="N158" s="152"/>
      <c r="O158" s="152"/>
      <c r="P158" s="152"/>
      <c r="Q158" s="152"/>
      <c r="R158" s="152"/>
      <c r="S158" s="152"/>
      <c r="T158" s="152"/>
      <c r="U158" s="152"/>
      <c r="V158" s="152"/>
      <c r="W158" s="152"/>
      <c r="X158" s="152"/>
      <c r="Y158" s="152"/>
      <c r="Z158" s="152"/>
      <c r="AA158" s="152"/>
      <c r="AB158" s="152"/>
      <c r="AC158" s="152"/>
      <c r="AD158" s="152"/>
      <c r="AE158" s="152"/>
      <c r="AF158" s="152"/>
      <c r="AG158" s="152"/>
      <c r="AH158" s="152"/>
      <c r="AI158" s="152"/>
      <c r="AJ158" s="152"/>
      <c r="AK158" s="152"/>
      <c r="AL158" s="152"/>
      <c r="AM158" s="152"/>
      <c r="AN158" s="152"/>
      <c r="AO158" s="152"/>
      <c r="AP158" s="152"/>
      <c r="AQ158" s="152"/>
      <c r="AR158" s="152"/>
      <c r="AS158" s="152"/>
      <c r="AT158" s="152"/>
      <c r="AU158" s="152"/>
      <c r="AV158" s="152"/>
      <c r="AW158" s="152"/>
      <c r="AX158" s="152"/>
      <c r="AY158" s="152"/>
      <c r="AZ158" s="152"/>
      <c r="BA158" s="152"/>
      <c r="BB158" s="152"/>
      <c r="BC158" s="152"/>
      <c r="BD158" s="152"/>
      <c r="BE158" s="152"/>
      <c r="BF158" s="152"/>
    </row>
    <row r="159" ht="17.25" customHeight="1" spans="1:17">
      <c r="A159" s="147" t="s">
        <v>26</v>
      </c>
      <c r="B159" s="289"/>
      <c r="C159" s="124"/>
      <c r="D159" s="326"/>
      <c r="E159" s="326"/>
      <c r="F159" s="256"/>
      <c r="G159" s="256"/>
      <c r="H159" s="76"/>
      <c r="I159" s="153"/>
      <c r="J159" s="152"/>
      <c r="K159" s="3"/>
      <c r="L159" s="3"/>
      <c r="M159" s="3"/>
      <c r="N159" s="3" t="s">
        <v>128</v>
      </c>
      <c r="O159" s="3"/>
      <c r="P159" s="3"/>
      <c r="Q159" s="3"/>
    </row>
    <row r="160" s="1" customFormat="1" customHeight="1" spans="1:58">
      <c r="A160" s="207"/>
      <c r="B160" s="82" t="s">
        <v>129</v>
      </c>
      <c r="C160" s="83">
        <v>250</v>
      </c>
      <c r="D160" s="257">
        <v>6.2</v>
      </c>
      <c r="E160" s="258">
        <v>5.6</v>
      </c>
      <c r="F160" s="259">
        <v>22.3</v>
      </c>
      <c r="G160" s="260">
        <f>(D160*4)+(E160*9)+(F160*4)</f>
        <v>164.4</v>
      </c>
      <c r="H160" s="87" t="s">
        <v>130</v>
      </c>
      <c r="I160" s="152"/>
      <c r="J160" s="152"/>
      <c r="K160" s="152"/>
      <c r="L160" s="152"/>
      <c r="M160" s="152"/>
      <c r="N160" s="152"/>
      <c r="O160" s="152"/>
      <c r="P160" s="152"/>
      <c r="Q160" s="152"/>
      <c r="R160" s="152"/>
      <c r="S160" s="152"/>
      <c r="T160" s="152"/>
      <c r="U160" s="152"/>
      <c r="V160" s="152"/>
      <c r="W160" s="152"/>
      <c r="X160" s="152"/>
      <c r="Y160" s="152"/>
      <c r="Z160" s="152"/>
      <c r="AA160" s="152"/>
      <c r="AB160" s="152"/>
      <c r="AC160" s="152"/>
      <c r="AD160" s="152"/>
      <c r="AE160" s="152"/>
      <c r="AF160" s="152"/>
      <c r="AG160" s="152"/>
      <c r="AH160" s="152"/>
      <c r="AI160" s="152"/>
      <c r="AJ160" s="152"/>
      <c r="AK160" s="152"/>
      <c r="AL160" s="152"/>
      <c r="AM160" s="152"/>
      <c r="AN160" s="152"/>
      <c r="AO160" s="152"/>
      <c r="AP160" s="152"/>
      <c r="AQ160" s="152"/>
      <c r="AR160" s="152"/>
      <c r="AS160" s="152"/>
      <c r="AT160" s="152"/>
      <c r="AU160" s="152"/>
      <c r="AV160" s="152"/>
      <c r="AW160" s="152"/>
      <c r="AX160" s="152"/>
      <c r="AY160" s="152"/>
      <c r="AZ160" s="152"/>
      <c r="BA160" s="152"/>
      <c r="BB160" s="152"/>
      <c r="BC160" s="152"/>
      <c r="BD160" s="152"/>
      <c r="BE160" s="152"/>
      <c r="BF160" s="152"/>
    </row>
    <row r="161" s="1" customFormat="1" customHeight="1" spans="1:58">
      <c r="A161" s="61"/>
      <c r="B161" s="55" t="s">
        <v>131</v>
      </c>
      <c r="C161" s="56">
        <v>90</v>
      </c>
      <c r="D161" s="188">
        <v>6.5</v>
      </c>
      <c r="E161" s="189">
        <v>4.4</v>
      </c>
      <c r="F161" s="190">
        <v>7.6</v>
      </c>
      <c r="G161" s="260">
        <f t="shared" ref="G161:G166" si="37">(D161*4)+(E161*9)+(F161*4)</f>
        <v>96</v>
      </c>
      <c r="H161" s="62" t="s">
        <v>132</v>
      </c>
      <c r="I161" s="152"/>
      <c r="J161" s="152"/>
      <c r="K161" s="152"/>
      <c r="L161" s="152"/>
      <c r="M161" s="152"/>
      <c r="N161" s="152"/>
      <c r="O161" s="152"/>
      <c r="P161" s="152"/>
      <c r="Q161" s="152"/>
      <c r="R161" s="152"/>
      <c r="S161" s="152"/>
      <c r="T161" s="152"/>
      <c r="U161" s="152"/>
      <c r="V161" s="152"/>
      <c r="W161" s="152"/>
      <c r="X161" s="152"/>
      <c r="Y161" s="152"/>
      <c r="Z161" s="152"/>
      <c r="AA161" s="152"/>
      <c r="AB161" s="152"/>
      <c r="AC161" s="152"/>
      <c r="AD161" s="152"/>
      <c r="AE161" s="152"/>
      <c r="AF161" s="152"/>
      <c r="AG161" s="152"/>
      <c r="AH161" s="152"/>
      <c r="AI161" s="152"/>
      <c r="AJ161" s="152"/>
      <c r="AK161" s="152"/>
      <c r="AL161" s="152"/>
      <c r="AM161" s="152"/>
      <c r="AN161" s="152"/>
      <c r="AO161" s="152"/>
      <c r="AP161" s="152"/>
      <c r="AQ161" s="152"/>
      <c r="AR161" s="152"/>
      <c r="AS161" s="152"/>
      <c r="AT161" s="152"/>
      <c r="AU161" s="152"/>
      <c r="AV161" s="152"/>
      <c r="AW161" s="152"/>
      <c r="AX161" s="152"/>
      <c r="AY161" s="152"/>
      <c r="AZ161" s="152"/>
      <c r="BA161" s="152"/>
      <c r="BB161" s="152"/>
      <c r="BC161" s="152"/>
      <c r="BD161" s="152"/>
      <c r="BE161" s="152"/>
      <c r="BF161" s="152"/>
    </row>
    <row r="162" s="1" customFormat="1" customHeight="1" spans="1:58">
      <c r="A162" s="61"/>
      <c r="B162" s="55" t="s">
        <v>133</v>
      </c>
      <c r="C162" s="56">
        <v>150</v>
      </c>
      <c r="D162" s="188">
        <v>3.05</v>
      </c>
      <c r="E162" s="189">
        <v>6.7</v>
      </c>
      <c r="F162" s="190">
        <v>27.6</v>
      </c>
      <c r="G162" s="260">
        <f t="shared" si="37"/>
        <v>182.9</v>
      </c>
      <c r="H162" s="62" t="s">
        <v>134</v>
      </c>
      <c r="I162" s="152"/>
      <c r="J162" s="152"/>
      <c r="K162" s="152"/>
      <c r="L162" s="152"/>
      <c r="M162" s="152"/>
      <c r="N162" s="152"/>
      <c r="O162" s="152"/>
      <c r="P162" s="152"/>
      <c r="Q162" s="152"/>
      <c r="R162" s="152"/>
      <c r="S162" s="152"/>
      <c r="T162" s="152"/>
      <c r="U162" s="152"/>
      <c r="V162" s="152"/>
      <c r="W162" s="152"/>
      <c r="X162" s="152"/>
      <c r="Y162" s="152"/>
      <c r="Z162" s="152"/>
      <c r="AA162" s="152"/>
      <c r="AB162" s="152"/>
      <c r="AC162" s="152"/>
      <c r="AD162" s="152"/>
      <c r="AE162" s="152"/>
      <c r="AF162" s="152"/>
      <c r="AG162" s="152"/>
      <c r="AH162" s="152"/>
      <c r="AI162" s="152"/>
      <c r="AJ162" s="152"/>
      <c r="AK162" s="152"/>
      <c r="AL162" s="152"/>
      <c r="AM162" s="152"/>
      <c r="AN162" s="152"/>
      <c r="AO162" s="152"/>
      <c r="AP162" s="152"/>
      <c r="AQ162" s="152"/>
      <c r="AR162" s="152"/>
      <c r="AS162" s="152"/>
      <c r="AT162" s="152"/>
      <c r="AU162" s="152"/>
      <c r="AV162" s="152"/>
      <c r="AW162" s="152"/>
      <c r="AX162" s="152"/>
      <c r="AY162" s="152"/>
      <c r="AZ162" s="152"/>
      <c r="BA162" s="152"/>
      <c r="BB162" s="152"/>
      <c r="BC162" s="152"/>
      <c r="BD162" s="152"/>
      <c r="BE162" s="152"/>
      <c r="BF162" s="152"/>
    </row>
    <row r="163" s="1" customFormat="1" customHeight="1" spans="1:58">
      <c r="A163" s="54"/>
      <c r="B163" s="55" t="s">
        <v>91</v>
      </c>
      <c r="C163" s="56">
        <v>60</v>
      </c>
      <c r="D163" s="138">
        <v>0.8</v>
      </c>
      <c r="E163" s="139">
        <v>5</v>
      </c>
      <c r="F163" s="140">
        <v>1.79</v>
      </c>
      <c r="G163" s="260">
        <f t="shared" si="37"/>
        <v>55.36</v>
      </c>
      <c r="H163" s="60" t="s">
        <v>92</v>
      </c>
      <c r="I163" s="152"/>
      <c r="J163" s="152"/>
      <c r="K163" s="152"/>
      <c r="L163" s="152"/>
      <c r="M163" s="152"/>
      <c r="N163" s="152"/>
      <c r="O163" s="152"/>
      <c r="P163" s="152"/>
      <c r="Q163" s="152"/>
      <c r="R163" s="152"/>
      <c r="S163" s="152"/>
      <c r="T163" s="152"/>
      <c r="U163" s="152"/>
      <c r="V163" s="152"/>
      <c r="W163" s="152"/>
      <c r="X163" s="152"/>
      <c r="Y163" s="152"/>
      <c r="Z163" s="152"/>
      <c r="AA163" s="152"/>
      <c r="AB163" s="152"/>
      <c r="AC163" s="152"/>
      <c r="AD163" s="152"/>
      <c r="AE163" s="152"/>
      <c r="AF163" s="152"/>
      <c r="AG163" s="152"/>
      <c r="AH163" s="152"/>
      <c r="AI163" s="152"/>
      <c r="AJ163" s="152"/>
      <c r="AK163" s="152"/>
      <c r="AL163" s="152"/>
      <c r="AM163" s="152"/>
      <c r="AN163" s="152"/>
      <c r="AO163" s="152"/>
      <c r="AP163" s="152"/>
      <c r="AQ163" s="152"/>
      <c r="AR163" s="152"/>
      <c r="AS163" s="152"/>
      <c r="AT163" s="152"/>
      <c r="AU163" s="152"/>
      <c r="AV163" s="152"/>
      <c r="AW163" s="152"/>
      <c r="AX163" s="152"/>
      <c r="AY163" s="152"/>
      <c r="AZ163" s="152"/>
      <c r="BA163" s="152"/>
      <c r="BB163" s="152"/>
      <c r="BC163" s="152"/>
      <c r="BD163" s="152"/>
      <c r="BE163" s="152"/>
      <c r="BF163" s="152"/>
    </row>
    <row r="164" s="1" customFormat="1" customHeight="1" spans="1:58">
      <c r="A164" s="88"/>
      <c r="B164" s="89" t="s">
        <v>38</v>
      </c>
      <c r="C164" s="90">
        <v>200</v>
      </c>
      <c r="D164" s="261">
        <v>0.6</v>
      </c>
      <c r="E164" s="262">
        <v>0.09</v>
      </c>
      <c r="F164" s="263">
        <v>17.3</v>
      </c>
      <c r="G164" s="260">
        <f t="shared" si="37"/>
        <v>72.41</v>
      </c>
      <c r="H164" s="68" t="s">
        <v>123</v>
      </c>
      <c r="I164" s="152"/>
      <c r="J164" s="152"/>
      <c r="K164" s="152"/>
      <c r="L164" s="152"/>
      <c r="M164" s="152"/>
      <c r="N164" s="152"/>
      <c r="O164" s="152"/>
      <c r="P164" s="152"/>
      <c r="Q164" s="152"/>
      <c r="R164" s="152"/>
      <c r="S164" s="152"/>
      <c r="T164" s="152"/>
      <c r="U164" s="152"/>
      <c r="V164" s="152"/>
      <c r="W164" s="152"/>
      <c r="X164" s="152"/>
      <c r="Y164" s="152"/>
      <c r="Z164" s="152"/>
      <c r="AA164" s="152"/>
      <c r="AB164" s="152"/>
      <c r="AC164" s="152"/>
      <c r="AD164" s="152"/>
      <c r="AE164" s="152"/>
      <c r="AF164" s="152"/>
      <c r="AG164" s="152"/>
      <c r="AH164" s="152"/>
      <c r="AI164" s="152"/>
      <c r="AJ164" s="152"/>
      <c r="AK164" s="152"/>
      <c r="AL164" s="152"/>
      <c r="AM164" s="152"/>
      <c r="AN164" s="152"/>
      <c r="AO164" s="152"/>
      <c r="AP164" s="152"/>
      <c r="AQ164" s="152"/>
      <c r="AR164" s="152"/>
      <c r="AS164" s="152"/>
      <c r="AT164" s="152"/>
      <c r="AU164" s="152"/>
      <c r="AV164" s="152"/>
      <c r="AW164" s="152"/>
      <c r="AX164" s="152"/>
      <c r="AY164" s="152"/>
      <c r="AZ164" s="152"/>
      <c r="BA164" s="152"/>
      <c r="BB164" s="152"/>
      <c r="BC164" s="152"/>
      <c r="BD164" s="152"/>
      <c r="BE164" s="152"/>
      <c r="BF164" s="152"/>
    </row>
    <row r="165" s="1" customFormat="1" customHeight="1" spans="1:58">
      <c r="A165" s="61"/>
      <c r="B165" s="55" t="s">
        <v>36</v>
      </c>
      <c r="C165" s="56" t="s">
        <v>37</v>
      </c>
      <c r="D165" s="138">
        <v>7.34</v>
      </c>
      <c r="E165" s="139">
        <v>2.1</v>
      </c>
      <c r="F165" s="140">
        <v>45.9</v>
      </c>
      <c r="G165" s="260">
        <f t="shared" si="37"/>
        <v>231.86</v>
      </c>
      <c r="H165" s="62" t="s">
        <v>23</v>
      </c>
      <c r="I165" s="152"/>
      <c r="J165" s="152"/>
      <c r="K165" s="152"/>
      <c r="L165" s="152"/>
      <c r="M165" s="152"/>
      <c r="N165" s="152"/>
      <c r="O165" s="152"/>
      <c r="P165" s="152"/>
      <c r="Q165" s="152"/>
      <c r="R165" s="152"/>
      <c r="S165" s="152"/>
      <c r="T165" s="152"/>
      <c r="U165" s="152"/>
      <c r="V165" s="152"/>
      <c r="W165" s="152"/>
      <c r="X165" s="152"/>
      <c r="Y165" s="152"/>
      <c r="Z165" s="152"/>
      <c r="AA165" s="152"/>
      <c r="AB165" s="152"/>
      <c r="AC165" s="152"/>
      <c r="AD165" s="152"/>
      <c r="AE165" s="152"/>
      <c r="AF165" s="152"/>
      <c r="AG165" s="152"/>
      <c r="AH165" s="152"/>
      <c r="AI165" s="152"/>
      <c r="AJ165" s="152"/>
      <c r="AK165" s="152"/>
      <c r="AL165" s="152"/>
      <c r="AM165" s="152"/>
      <c r="AN165" s="152"/>
      <c r="AO165" s="152"/>
      <c r="AP165" s="152"/>
      <c r="AQ165" s="152"/>
      <c r="AR165" s="152"/>
      <c r="AS165" s="152"/>
      <c r="AT165" s="152"/>
      <c r="AU165" s="152"/>
      <c r="AV165" s="152"/>
      <c r="AW165" s="152"/>
      <c r="AX165" s="152"/>
      <c r="AY165" s="152"/>
      <c r="AZ165" s="152"/>
      <c r="BA165" s="152"/>
      <c r="BB165" s="152"/>
      <c r="BC165" s="152"/>
      <c r="BD165" s="152"/>
      <c r="BE165" s="152"/>
      <c r="BF165" s="152"/>
    </row>
    <row r="166" s="1" customFormat="1" customHeight="1" spans="1:58">
      <c r="A166" s="181"/>
      <c r="B166" s="89" t="s">
        <v>86</v>
      </c>
      <c r="C166" s="194">
        <v>100</v>
      </c>
      <c r="D166" s="245">
        <v>0.4</v>
      </c>
      <c r="E166" s="246">
        <v>0.4</v>
      </c>
      <c r="F166" s="247">
        <v>9.8</v>
      </c>
      <c r="G166" s="260">
        <f t="shared" si="37"/>
        <v>44.4</v>
      </c>
      <c r="H166" s="179" t="s">
        <v>23</v>
      </c>
      <c r="I166" s="152"/>
      <c r="J166" s="152"/>
      <c r="K166" s="152"/>
      <c r="L166" s="152"/>
      <c r="M166" s="152"/>
      <c r="N166" s="152"/>
      <c r="O166" s="152"/>
      <c r="P166" s="152"/>
      <c r="Q166" s="152"/>
      <c r="R166" s="152"/>
      <c r="S166" s="152"/>
      <c r="T166" s="152"/>
      <c r="U166" s="152"/>
      <c r="V166" s="152"/>
      <c r="W166" s="152"/>
      <c r="X166" s="152"/>
      <c r="Y166" s="152"/>
      <c r="Z166" s="152"/>
      <c r="AA166" s="152"/>
      <c r="AB166" s="152"/>
      <c r="AC166" s="152"/>
      <c r="AD166" s="152"/>
      <c r="AE166" s="152"/>
      <c r="AF166" s="152"/>
      <c r="AG166" s="152"/>
      <c r="AH166" s="152"/>
      <c r="AI166" s="152"/>
      <c r="AJ166" s="152"/>
      <c r="AK166" s="152"/>
      <c r="AL166" s="152"/>
      <c r="AM166" s="152"/>
      <c r="AN166" s="152"/>
      <c r="AO166" s="152"/>
      <c r="AP166" s="152"/>
      <c r="AQ166" s="152"/>
      <c r="AR166" s="152"/>
      <c r="AS166" s="152"/>
      <c r="AT166" s="152"/>
      <c r="AU166" s="152"/>
      <c r="AV166" s="152"/>
      <c r="AW166" s="152"/>
      <c r="AX166" s="152"/>
      <c r="AY166" s="152"/>
      <c r="AZ166" s="152"/>
      <c r="BA166" s="152"/>
      <c r="BB166" s="152"/>
      <c r="BC166" s="152"/>
      <c r="BD166" s="152"/>
      <c r="BE166" s="152"/>
      <c r="BF166" s="152"/>
    </row>
    <row r="167" s="1" customFormat="1" customHeight="1" spans="1:58">
      <c r="A167" s="264" t="s">
        <v>25</v>
      </c>
      <c r="B167" s="265"/>
      <c r="C167" s="214" t="s">
        <v>135</v>
      </c>
      <c r="D167" s="314">
        <f t="shared" ref="D167:G167" si="38">SUM(D160:D164)</f>
        <v>17.15</v>
      </c>
      <c r="E167" s="315">
        <f t="shared" si="38"/>
        <v>21.79</v>
      </c>
      <c r="F167" s="316">
        <f t="shared" si="38"/>
        <v>76.59</v>
      </c>
      <c r="G167" s="317">
        <f t="shared" si="38"/>
        <v>571.07</v>
      </c>
      <c r="H167" s="76"/>
      <c r="I167" s="152"/>
      <c r="J167" s="152"/>
      <c r="K167" s="152"/>
      <c r="L167" s="152"/>
      <c r="M167" s="152"/>
      <c r="N167" s="152"/>
      <c r="O167" s="152"/>
      <c r="P167" s="152"/>
      <c r="Q167" s="152"/>
      <c r="R167" s="152"/>
      <c r="S167" s="152"/>
      <c r="T167" s="152"/>
      <c r="U167" s="152"/>
      <c r="V167" s="152"/>
      <c r="W167" s="152"/>
      <c r="X167" s="152"/>
      <c r="Y167" s="152"/>
      <c r="Z167" s="152"/>
      <c r="AA167" s="152"/>
      <c r="AB167" s="152"/>
      <c r="AC167" s="152"/>
      <c r="AD167" s="152"/>
      <c r="AE167" s="152"/>
      <c r="AF167" s="152"/>
      <c r="AG167" s="152"/>
      <c r="AH167" s="152"/>
      <c r="AI167" s="152"/>
      <c r="AJ167" s="152"/>
      <c r="AK167" s="152"/>
      <c r="AL167" s="152"/>
      <c r="AM167" s="152"/>
      <c r="AN167" s="152"/>
      <c r="AO167" s="152"/>
      <c r="AP167" s="152"/>
      <c r="AQ167" s="152"/>
      <c r="AR167" s="152"/>
      <c r="AS167" s="152"/>
      <c r="AT167" s="152"/>
      <c r="AU167" s="152"/>
      <c r="AV167" s="152"/>
      <c r="AW167" s="152"/>
      <c r="AX167" s="152"/>
      <c r="AY167" s="152"/>
      <c r="AZ167" s="152"/>
      <c r="BA167" s="152"/>
      <c r="BB167" s="152"/>
      <c r="BC167" s="152"/>
      <c r="BD167" s="152"/>
      <c r="BE167" s="152"/>
      <c r="BF167" s="152"/>
    </row>
    <row r="168" s="1" customFormat="1" customHeight="1" spans="1:58">
      <c r="A168" s="270" t="s">
        <v>40</v>
      </c>
      <c r="B168" s="265"/>
      <c r="C168" s="215">
        <f>C167+C158</f>
        <v>1450</v>
      </c>
      <c r="D168" s="306">
        <f t="shared" ref="D168:G168" si="39">D167+D158</f>
        <v>47.71</v>
      </c>
      <c r="E168" s="307">
        <f t="shared" si="39"/>
        <v>36.1</v>
      </c>
      <c r="F168" s="308">
        <f t="shared" si="39"/>
        <v>168.96</v>
      </c>
      <c r="G168" s="309">
        <f t="shared" si="39"/>
        <v>1191.58</v>
      </c>
      <c r="H168" s="76"/>
      <c r="I168" s="152"/>
      <c r="J168" s="152"/>
      <c r="K168" s="152"/>
      <c r="L168" s="152"/>
      <c r="M168" s="152"/>
      <c r="N168" s="152"/>
      <c r="O168" s="152"/>
      <c r="P168" s="152"/>
      <c r="Q168" s="152"/>
      <c r="R168" s="152"/>
      <c r="S168" s="152"/>
      <c r="T168" s="152"/>
      <c r="U168" s="152"/>
      <c r="V168" s="152"/>
      <c r="W168" s="152"/>
      <c r="X168" s="152"/>
      <c r="Y168" s="152"/>
      <c r="Z168" s="152"/>
      <c r="AA168" s="152"/>
      <c r="AB168" s="152"/>
      <c r="AC168" s="152"/>
      <c r="AD168" s="152"/>
      <c r="AE168" s="152"/>
      <c r="AF168" s="152"/>
      <c r="AG168" s="152"/>
      <c r="AH168" s="152"/>
      <c r="AI168" s="152"/>
      <c r="AJ168" s="152"/>
      <c r="AK168" s="152"/>
      <c r="AL168" s="152"/>
      <c r="AM168" s="152"/>
      <c r="AN168" s="152"/>
      <c r="AO168" s="152"/>
      <c r="AP168" s="152"/>
      <c r="AQ168" s="152"/>
      <c r="AR168" s="152"/>
      <c r="AS168" s="152"/>
      <c r="AT168" s="152"/>
      <c r="AU168" s="152"/>
      <c r="AV168" s="152"/>
      <c r="AW168" s="152"/>
      <c r="AX168" s="152"/>
      <c r="AY168" s="152"/>
      <c r="AZ168" s="152"/>
      <c r="BA168" s="152"/>
      <c r="BB168" s="152"/>
      <c r="BC168" s="152"/>
      <c r="BD168" s="152"/>
      <c r="BE168" s="152"/>
      <c r="BF168" s="152"/>
    </row>
    <row r="169" s="1" customFormat="1" customHeight="1" spans="1:58">
      <c r="A169" s="100"/>
      <c r="B169" s="101"/>
      <c r="C169" s="106"/>
      <c r="D169" s="296"/>
      <c r="E169" s="296"/>
      <c r="F169" s="296"/>
      <c r="G169" s="297"/>
      <c r="H169" s="76"/>
      <c r="I169" s="152"/>
      <c r="J169" s="152"/>
      <c r="K169" s="152"/>
      <c r="L169" s="152"/>
      <c r="M169" s="152"/>
      <c r="N169" s="152"/>
      <c r="O169" s="152"/>
      <c r="P169" s="152"/>
      <c r="Q169" s="152"/>
      <c r="R169" s="152"/>
      <c r="S169" s="152"/>
      <c r="T169" s="152"/>
      <c r="U169" s="152"/>
      <c r="V169" s="152"/>
      <c r="W169" s="152"/>
      <c r="X169" s="152"/>
      <c r="Y169" s="152"/>
      <c r="Z169" s="152"/>
      <c r="AA169" s="152"/>
      <c r="AB169" s="152"/>
      <c r="AC169" s="152"/>
      <c r="AD169" s="152"/>
      <c r="AE169" s="152"/>
      <c r="AF169" s="152"/>
      <c r="AG169" s="152"/>
      <c r="AH169" s="152"/>
      <c r="AI169" s="152"/>
      <c r="AJ169" s="152"/>
      <c r="AK169" s="152"/>
      <c r="AL169" s="152"/>
      <c r="AM169" s="152"/>
      <c r="AN169" s="152"/>
      <c r="AO169" s="152"/>
      <c r="AP169" s="152"/>
      <c r="AQ169" s="152"/>
      <c r="AR169" s="152"/>
      <c r="AS169" s="152"/>
      <c r="AT169" s="152"/>
      <c r="AU169" s="152"/>
      <c r="AV169" s="152"/>
      <c r="AW169" s="152"/>
      <c r="AX169" s="152"/>
      <c r="AY169" s="152"/>
      <c r="AZ169" s="152"/>
      <c r="BA169" s="152"/>
      <c r="BB169" s="152"/>
      <c r="BC169" s="152"/>
      <c r="BD169" s="152"/>
      <c r="BE169" s="152"/>
      <c r="BF169" s="152"/>
    </row>
    <row r="170" ht="17.25" customHeight="1" spans="1:17">
      <c r="A170" s="134"/>
      <c r="B170" s="109" t="s">
        <v>79</v>
      </c>
      <c r="C170" s="109"/>
      <c r="D170" s="109"/>
      <c r="E170" s="109"/>
      <c r="F170" s="109"/>
      <c r="G170" s="109"/>
      <c r="H170" s="76"/>
      <c r="J170" s="152"/>
      <c r="K170" s="3"/>
      <c r="L170" s="3"/>
      <c r="M170" s="3"/>
      <c r="N170" s="3"/>
      <c r="O170" s="3"/>
      <c r="P170" s="3"/>
      <c r="Q170" s="3"/>
    </row>
    <row r="171" ht="17.25" customHeight="1" spans="1:17">
      <c r="A171" s="172" t="s">
        <v>13</v>
      </c>
      <c r="B171" s="173"/>
      <c r="C171" s="110"/>
      <c r="D171" s="173"/>
      <c r="E171" s="173"/>
      <c r="F171" s="298"/>
      <c r="G171" s="298"/>
      <c r="H171" s="81"/>
      <c r="J171" s="152"/>
      <c r="K171" s="3"/>
      <c r="L171" s="3"/>
      <c r="M171" s="3"/>
      <c r="N171" s="3"/>
      <c r="O171" s="3"/>
      <c r="P171" s="3"/>
      <c r="Q171" s="3"/>
    </row>
    <row r="172" s="1" customFormat="1" customHeight="1" spans="1:58">
      <c r="A172" s="196"/>
      <c r="B172" s="55" t="s">
        <v>54</v>
      </c>
      <c r="C172" s="83">
        <v>60</v>
      </c>
      <c r="D172" s="138">
        <v>1</v>
      </c>
      <c r="E172" s="139">
        <v>0.4</v>
      </c>
      <c r="F172" s="140">
        <v>2.3</v>
      </c>
      <c r="G172" s="260">
        <f>(D172*4)+(E172*9)+(F172*4)</f>
        <v>16.8</v>
      </c>
      <c r="H172" s="197" t="s">
        <v>65</v>
      </c>
      <c r="I172" s="152"/>
      <c r="J172" s="152"/>
      <c r="K172" s="152"/>
      <c r="L172" s="152"/>
      <c r="M172" s="152"/>
      <c r="N172" s="152"/>
      <c r="O172" s="152"/>
      <c r="P172" s="152"/>
      <c r="Q172" s="152"/>
      <c r="R172" s="152"/>
      <c r="S172" s="152"/>
      <c r="T172" s="152"/>
      <c r="U172" s="152"/>
      <c r="V172" s="152"/>
      <c r="W172" s="152"/>
      <c r="X172" s="152"/>
      <c r="Y172" s="152"/>
      <c r="Z172" s="152"/>
      <c r="AA172" s="152"/>
      <c r="AB172" s="152"/>
      <c r="AC172" s="152"/>
      <c r="AD172" s="152"/>
      <c r="AE172" s="152"/>
      <c r="AF172" s="152"/>
      <c r="AG172" s="152"/>
      <c r="AH172" s="152"/>
      <c r="AI172" s="152"/>
      <c r="AJ172" s="152"/>
      <c r="AK172" s="152"/>
      <c r="AL172" s="152"/>
      <c r="AM172" s="152"/>
      <c r="AN172" s="152"/>
      <c r="AO172" s="152"/>
      <c r="AP172" s="152"/>
      <c r="AQ172" s="152"/>
      <c r="AR172" s="152"/>
      <c r="AS172" s="152"/>
      <c r="AT172" s="152"/>
      <c r="AU172" s="152"/>
      <c r="AV172" s="152"/>
      <c r="AW172" s="152"/>
      <c r="AX172" s="152"/>
      <c r="AY172" s="152"/>
      <c r="AZ172" s="152"/>
      <c r="BA172" s="152"/>
      <c r="BB172" s="152"/>
      <c r="BC172" s="152"/>
      <c r="BD172" s="152"/>
      <c r="BE172" s="152"/>
      <c r="BF172" s="152"/>
    </row>
    <row r="173" s="1" customFormat="1" customHeight="1" spans="1:58">
      <c r="A173" s="61"/>
      <c r="B173" s="55" t="s">
        <v>136</v>
      </c>
      <c r="C173" s="56">
        <v>90</v>
      </c>
      <c r="D173" s="188">
        <v>12.27</v>
      </c>
      <c r="E173" s="189">
        <v>12.81</v>
      </c>
      <c r="F173" s="190">
        <v>11.97</v>
      </c>
      <c r="G173" s="260">
        <f t="shared" ref="G173:G177" si="40">(D173*4)+(E173*9)+(F173*4)</f>
        <v>212.25</v>
      </c>
      <c r="H173" s="62" t="s">
        <v>137</v>
      </c>
      <c r="I173" s="152"/>
      <c r="J173" s="152"/>
      <c r="K173" s="152"/>
      <c r="L173" s="152"/>
      <c r="M173" s="152"/>
      <c r="N173" s="152"/>
      <c r="O173" s="152"/>
      <c r="P173" s="152"/>
      <c r="Q173" s="152"/>
      <c r="R173" s="152"/>
      <c r="S173" s="152"/>
      <c r="T173" s="152"/>
      <c r="U173" s="152"/>
      <c r="V173" s="152"/>
      <c r="W173" s="152"/>
      <c r="X173" s="152"/>
      <c r="Y173" s="152"/>
      <c r="Z173" s="152"/>
      <c r="AA173" s="152"/>
      <c r="AB173" s="152"/>
      <c r="AC173" s="152"/>
      <c r="AD173" s="152"/>
      <c r="AE173" s="152"/>
      <c r="AF173" s="152"/>
      <c r="AG173" s="152"/>
      <c r="AH173" s="152"/>
      <c r="AI173" s="152"/>
      <c r="AJ173" s="152"/>
      <c r="AK173" s="152"/>
      <c r="AL173" s="152"/>
      <c r="AM173" s="152"/>
      <c r="AN173" s="152"/>
      <c r="AO173" s="152"/>
      <c r="AP173" s="152"/>
      <c r="AQ173" s="152"/>
      <c r="AR173" s="152"/>
      <c r="AS173" s="152"/>
      <c r="AT173" s="152"/>
      <c r="AU173" s="152"/>
      <c r="AV173" s="152"/>
      <c r="AW173" s="152"/>
      <c r="AX173" s="152"/>
      <c r="AY173" s="152"/>
      <c r="AZ173" s="152"/>
      <c r="BA173" s="152"/>
      <c r="BB173" s="152"/>
      <c r="BC173" s="152"/>
      <c r="BD173" s="152"/>
      <c r="BE173" s="152"/>
      <c r="BF173" s="152"/>
    </row>
    <row r="174" s="1" customFormat="1" customHeight="1" spans="1:58">
      <c r="A174" s="61"/>
      <c r="B174" s="55" t="s">
        <v>98</v>
      </c>
      <c r="C174" s="56">
        <v>150</v>
      </c>
      <c r="D174" s="188">
        <v>8</v>
      </c>
      <c r="E174" s="189">
        <v>7</v>
      </c>
      <c r="F174" s="190">
        <v>39</v>
      </c>
      <c r="G174" s="260">
        <f t="shared" si="40"/>
        <v>251</v>
      </c>
      <c r="H174" s="62" t="s">
        <v>99</v>
      </c>
      <c r="I174" s="152"/>
      <c r="J174" s="152"/>
      <c r="K174" s="152"/>
      <c r="L174" s="152"/>
      <c r="M174" s="152"/>
      <c r="N174" s="152"/>
      <c r="O174" s="152"/>
      <c r="P174" s="152"/>
      <c r="Q174" s="152"/>
      <c r="R174" s="152"/>
      <c r="S174" s="152"/>
      <c r="T174" s="152"/>
      <c r="U174" s="152"/>
      <c r="V174" s="152"/>
      <c r="W174" s="152"/>
      <c r="X174" s="152"/>
      <c r="Y174" s="152"/>
      <c r="Z174" s="152"/>
      <c r="AA174" s="152"/>
      <c r="AB174" s="152"/>
      <c r="AC174" s="152"/>
      <c r="AD174" s="152"/>
      <c r="AE174" s="152"/>
      <c r="AF174" s="152"/>
      <c r="AG174" s="152"/>
      <c r="AH174" s="152"/>
      <c r="AI174" s="152"/>
      <c r="AJ174" s="152"/>
      <c r="AK174" s="152"/>
      <c r="AL174" s="152"/>
      <c r="AM174" s="152"/>
      <c r="AN174" s="152"/>
      <c r="AO174" s="152"/>
      <c r="AP174" s="152"/>
      <c r="AQ174" s="152"/>
      <c r="AR174" s="152"/>
      <c r="AS174" s="152"/>
      <c r="AT174" s="152"/>
      <c r="AU174" s="152"/>
      <c r="AV174" s="152"/>
      <c r="AW174" s="152"/>
      <c r="AX174" s="152"/>
      <c r="AY174" s="152"/>
      <c r="AZ174" s="152"/>
      <c r="BA174" s="152"/>
      <c r="BB174" s="152"/>
      <c r="BC174" s="152"/>
      <c r="BD174" s="152"/>
      <c r="BE174" s="152"/>
      <c r="BF174" s="152"/>
    </row>
    <row r="175" s="1" customFormat="1" customHeight="1" spans="1:58">
      <c r="A175" s="61"/>
      <c r="B175" s="55" t="s">
        <v>84</v>
      </c>
      <c r="C175" s="56">
        <v>200</v>
      </c>
      <c r="D175" s="188">
        <v>3.3</v>
      </c>
      <c r="E175" s="189">
        <v>3</v>
      </c>
      <c r="F175" s="190">
        <v>16.6</v>
      </c>
      <c r="G175" s="260">
        <f t="shared" si="40"/>
        <v>106.6</v>
      </c>
      <c r="H175" s="62" t="s">
        <v>127</v>
      </c>
      <c r="I175" s="152"/>
      <c r="J175" s="152"/>
      <c r="K175" s="152"/>
      <c r="L175" s="152"/>
      <c r="M175" s="152"/>
      <c r="N175" s="152"/>
      <c r="O175" s="152"/>
      <c r="P175" s="152"/>
      <c r="Q175" s="152"/>
      <c r="R175" s="152"/>
      <c r="S175" s="152"/>
      <c r="T175" s="152"/>
      <c r="U175" s="152"/>
      <c r="V175" s="152"/>
      <c r="W175" s="152"/>
      <c r="X175" s="152"/>
      <c r="Y175" s="152"/>
      <c r="Z175" s="152"/>
      <c r="AA175" s="152"/>
      <c r="AB175" s="152"/>
      <c r="AC175" s="152"/>
      <c r="AD175" s="152"/>
      <c r="AE175" s="152"/>
      <c r="AF175" s="152"/>
      <c r="AG175" s="152"/>
      <c r="AH175" s="152"/>
      <c r="AI175" s="152"/>
      <c r="AJ175" s="152"/>
      <c r="AK175" s="152"/>
      <c r="AL175" s="152"/>
      <c r="AM175" s="152"/>
      <c r="AN175" s="152"/>
      <c r="AO175" s="152"/>
      <c r="AP175" s="152"/>
      <c r="AQ175" s="152"/>
      <c r="AR175" s="152"/>
      <c r="AS175" s="152"/>
      <c r="AT175" s="152"/>
      <c r="AU175" s="152"/>
      <c r="AV175" s="152"/>
      <c r="AW175" s="152"/>
      <c r="AX175" s="152"/>
      <c r="AY175" s="152"/>
      <c r="AZ175" s="152"/>
      <c r="BA175" s="152"/>
      <c r="BB175" s="152"/>
      <c r="BC175" s="152"/>
      <c r="BD175" s="152"/>
      <c r="BE175" s="152"/>
      <c r="BF175" s="152"/>
    </row>
    <row r="176" s="1" customFormat="1" ht="29" customHeight="1" spans="1:58">
      <c r="A176" s="61"/>
      <c r="B176" s="137" t="s">
        <v>66</v>
      </c>
      <c r="C176" s="56" t="s">
        <v>67</v>
      </c>
      <c r="D176" s="188">
        <v>0.08</v>
      </c>
      <c r="E176" s="189">
        <v>0</v>
      </c>
      <c r="F176" s="190">
        <v>12</v>
      </c>
      <c r="G176" s="260">
        <f t="shared" si="40"/>
        <v>48.32</v>
      </c>
      <c r="H176" s="62" t="s">
        <v>23</v>
      </c>
      <c r="I176" s="152"/>
      <c r="J176" s="152"/>
      <c r="K176" s="152"/>
      <c r="L176" s="152"/>
      <c r="M176" s="152"/>
      <c r="N176" s="152"/>
      <c r="O176" s="152"/>
      <c r="P176" s="152"/>
      <c r="Q176" s="152"/>
      <c r="R176" s="152"/>
      <c r="S176" s="152"/>
      <c r="T176" s="152"/>
      <c r="U176" s="152"/>
      <c r="V176" s="152"/>
      <c r="W176" s="152"/>
      <c r="X176" s="152"/>
      <c r="Y176" s="152"/>
      <c r="Z176" s="152"/>
      <c r="AA176" s="152"/>
      <c r="AB176" s="152"/>
      <c r="AC176" s="152"/>
      <c r="AD176" s="152"/>
      <c r="AE176" s="152"/>
      <c r="AF176" s="152"/>
      <c r="AG176" s="152"/>
      <c r="AH176" s="152"/>
      <c r="AI176" s="152"/>
      <c r="AJ176" s="152"/>
      <c r="AK176" s="152"/>
      <c r="AL176" s="152"/>
      <c r="AM176" s="152"/>
      <c r="AN176" s="152"/>
      <c r="AO176" s="152"/>
      <c r="AP176" s="152"/>
      <c r="AQ176" s="152"/>
      <c r="AR176" s="152"/>
      <c r="AS176" s="152"/>
      <c r="AT176" s="152"/>
      <c r="AU176" s="152"/>
      <c r="AV176" s="152"/>
      <c r="AW176" s="152"/>
      <c r="AX176" s="152"/>
      <c r="AY176" s="152"/>
      <c r="AZ176" s="152"/>
      <c r="BA176" s="152"/>
      <c r="BB176" s="152"/>
      <c r="BC176" s="152"/>
      <c r="BD176" s="152"/>
      <c r="BE176" s="152"/>
      <c r="BF176" s="152"/>
    </row>
    <row r="177" s="1" customFormat="1" customHeight="1" spans="1:58">
      <c r="A177" s="88"/>
      <c r="B177" s="89" t="s">
        <v>22</v>
      </c>
      <c r="C177" s="194">
        <v>40</v>
      </c>
      <c r="D177" s="138">
        <v>3.04</v>
      </c>
      <c r="E177" s="139">
        <v>0.4</v>
      </c>
      <c r="F177" s="140">
        <v>24.6</v>
      </c>
      <c r="G177" s="260">
        <f t="shared" si="40"/>
        <v>114.16</v>
      </c>
      <c r="H177" s="68" t="s">
        <v>23</v>
      </c>
      <c r="I177" s="152"/>
      <c r="J177" s="152"/>
      <c r="K177" s="152"/>
      <c r="L177" s="152"/>
      <c r="M177" s="152"/>
      <c r="N177" s="152"/>
      <c r="O177" s="152"/>
      <c r="P177" s="152"/>
      <c r="Q177" s="152"/>
      <c r="R177" s="152"/>
      <c r="S177" s="152"/>
      <c r="T177" s="152"/>
      <c r="U177" s="152"/>
      <c r="V177" s="152"/>
      <c r="W177" s="152"/>
      <c r="X177" s="152"/>
      <c r="Y177" s="152"/>
      <c r="Z177" s="152"/>
      <c r="AA177" s="152"/>
      <c r="AB177" s="152"/>
      <c r="AC177" s="152"/>
      <c r="AD177" s="152"/>
      <c r="AE177" s="152"/>
      <c r="AF177" s="152"/>
      <c r="AG177" s="152"/>
      <c r="AH177" s="152"/>
      <c r="AI177" s="152"/>
      <c r="AJ177" s="152"/>
      <c r="AK177" s="152"/>
      <c r="AL177" s="152"/>
      <c r="AM177" s="152"/>
      <c r="AN177" s="152"/>
      <c r="AO177" s="152"/>
      <c r="AP177" s="152"/>
      <c r="AQ177" s="152"/>
      <c r="AR177" s="152"/>
      <c r="AS177" s="152"/>
      <c r="AT177" s="152"/>
      <c r="AU177" s="152"/>
      <c r="AV177" s="152"/>
      <c r="AW177" s="152"/>
      <c r="AX177" s="152"/>
      <c r="AY177" s="152"/>
      <c r="AZ177" s="152"/>
      <c r="BA177" s="152"/>
      <c r="BB177" s="152"/>
      <c r="BC177" s="152"/>
      <c r="BD177" s="152"/>
      <c r="BE177" s="152"/>
      <c r="BF177" s="152"/>
    </row>
    <row r="178" s="1" customFormat="1" customHeight="1" spans="1:58">
      <c r="A178" s="278" t="s">
        <v>25</v>
      </c>
      <c r="B178" s="284"/>
      <c r="C178" s="209">
        <f>SUM(C172:C177)+40</f>
        <v>580</v>
      </c>
      <c r="D178" s="322">
        <f t="shared" ref="D178:G178" si="41">SUM(D172:D177)</f>
        <v>27.69</v>
      </c>
      <c r="E178" s="323">
        <f t="shared" si="41"/>
        <v>23.61</v>
      </c>
      <c r="F178" s="324">
        <f t="shared" si="41"/>
        <v>106.47</v>
      </c>
      <c r="G178" s="325">
        <f t="shared" si="41"/>
        <v>749.13</v>
      </c>
      <c r="H178" s="76"/>
      <c r="I178" s="152"/>
      <c r="J178" s="152"/>
      <c r="K178" s="152"/>
      <c r="L178" s="152"/>
      <c r="M178" s="152"/>
      <c r="N178" s="152"/>
      <c r="O178" s="152"/>
      <c r="P178" s="152"/>
      <c r="Q178" s="152"/>
      <c r="R178" s="152"/>
      <c r="S178" s="152"/>
      <c r="T178" s="152"/>
      <c r="U178" s="152"/>
      <c r="V178" s="152"/>
      <c r="W178" s="152"/>
      <c r="X178" s="152"/>
      <c r="Y178" s="152"/>
      <c r="Z178" s="152"/>
      <c r="AA178" s="152"/>
      <c r="AB178" s="152"/>
      <c r="AC178" s="152"/>
      <c r="AD178" s="152"/>
      <c r="AE178" s="152"/>
      <c r="AF178" s="152"/>
      <c r="AG178" s="152"/>
      <c r="AH178" s="152"/>
      <c r="AI178" s="152"/>
      <c r="AJ178" s="152"/>
      <c r="AK178" s="152"/>
      <c r="AL178" s="152"/>
      <c r="AM178" s="152"/>
      <c r="AN178" s="152"/>
      <c r="AO178" s="152"/>
      <c r="AP178" s="152"/>
      <c r="AQ178" s="152"/>
      <c r="AR178" s="152"/>
      <c r="AS178" s="152"/>
      <c r="AT178" s="152"/>
      <c r="AU178" s="152"/>
      <c r="AV178" s="152"/>
      <c r="AW178" s="152"/>
      <c r="AX178" s="152"/>
      <c r="AY178" s="152"/>
      <c r="AZ178" s="152"/>
      <c r="BA178" s="152"/>
      <c r="BB178" s="152"/>
      <c r="BC178" s="152"/>
      <c r="BD178" s="152"/>
      <c r="BE178" s="152"/>
      <c r="BF178" s="152"/>
    </row>
    <row r="179" ht="17.25" customHeight="1" spans="1:17">
      <c r="A179" s="147" t="s">
        <v>26</v>
      </c>
      <c r="B179" s="289"/>
      <c r="C179" s="124"/>
      <c r="D179" s="326"/>
      <c r="E179" s="326"/>
      <c r="F179" s="256"/>
      <c r="G179" s="256"/>
      <c r="H179" s="76"/>
      <c r="I179" s="153"/>
      <c r="J179" s="152"/>
      <c r="K179" s="3"/>
      <c r="L179" s="3"/>
      <c r="M179" s="3"/>
      <c r="N179" s="3"/>
      <c r="O179" s="3"/>
      <c r="P179" s="3"/>
      <c r="Q179" s="3"/>
    </row>
    <row r="180" s="1" customFormat="1" customHeight="1" spans="1:58">
      <c r="A180" s="196"/>
      <c r="B180" s="82" t="s">
        <v>138</v>
      </c>
      <c r="C180" s="83">
        <v>250</v>
      </c>
      <c r="D180" s="299">
        <v>1.52</v>
      </c>
      <c r="E180" s="300">
        <v>5.4</v>
      </c>
      <c r="F180" s="301">
        <v>8.6</v>
      </c>
      <c r="G180" s="260">
        <f>(D180*4)+(E180*9)+(F180*4)</f>
        <v>89.08</v>
      </c>
      <c r="H180" s="197" t="s">
        <v>104</v>
      </c>
      <c r="I180" s="152"/>
      <c r="J180" s="152"/>
      <c r="K180" s="152"/>
      <c r="L180" s="152"/>
      <c r="M180" s="152"/>
      <c r="N180" s="152"/>
      <c r="O180" s="152"/>
      <c r="P180" s="152"/>
      <c r="Q180" s="152"/>
      <c r="R180" s="152"/>
      <c r="S180" s="152"/>
      <c r="T180" s="152"/>
      <c r="U180" s="152"/>
      <c r="V180" s="152"/>
      <c r="W180" s="152"/>
      <c r="X180" s="152"/>
      <c r="Y180" s="152"/>
      <c r="Z180" s="152"/>
      <c r="AA180" s="152"/>
      <c r="AB180" s="152"/>
      <c r="AC180" s="152"/>
      <c r="AD180" s="152"/>
      <c r="AE180" s="152"/>
      <c r="AF180" s="152"/>
      <c r="AG180" s="152"/>
      <c r="AH180" s="152"/>
      <c r="AI180" s="152"/>
      <c r="AJ180" s="152"/>
      <c r="AK180" s="152"/>
      <c r="AL180" s="152"/>
      <c r="AM180" s="152"/>
      <c r="AN180" s="152"/>
      <c r="AO180" s="152"/>
      <c r="AP180" s="152"/>
      <c r="AQ180" s="152"/>
      <c r="AR180" s="152"/>
      <c r="AS180" s="152"/>
      <c r="AT180" s="152"/>
      <c r="AU180" s="152"/>
      <c r="AV180" s="152"/>
      <c r="AW180" s="152"/>
      <c r="AX180" s="152"/>
      <c r="AY180" s="152"/>
      <c r="AZ180" s="152"/>
      <c r="BA180" s="152"/>
      <c r="BB180" s="152"/>
      <c r="BC180" s="152"/>
      <c r="BD180" s="152"/>
      <c r="BE180" s="152"/>
      <c r="BF180" s="152"/>
    </row>
    <row r="181" s="1" customFormat="1" customHeight="1" spans="1:58">
      <c r="A181" s="61"/>
      <c r="B181" s="55" t="s">
        <v>139</v>
      </c>
      <c r="C181" s="56">
        <v>200</v>
      </c>
      <c r="D181" s="188">
        <v>25.42</v>
      </c>
      <c r="E181" s="189">
        <v>14.7</v>
      </c>
      <c r="F181" s="190">
        <v>44</v>
      </c>
      <c r="G181" s="260">
        <f t="shared" ref="G181:G184" si="42">(D181*4)+(E181*9)+(F181*4)</f>
        <v>409.98</v>
      </c>
      <c r="H181" s="62" t="s">
        <v>140</v>
      </c>
      <c r="I181" s="152"/>
      <c r="J181" s="152"/>
      <c r="K181" s="152"/>
      <c r="L181" s="152"/>
      <c r="M181" s="152"/>
      <c r="N181" s="152"/>
      <c r="O181" s="152"/>
      <c r="P181" s="152"/>
      <c r="Q181" s="152"/>
      <c r="R181" s="152"/>
      <c r="S181" s="152"/>
      <c r="T181" s="152"/>
      <c r="U181" s="152"/>
      <c r="V181" s="152"/>
      <c r="W181" s="152"/>
      <c r="X181" s="152"/>
      <c r="Y181" s="152"/>
      <c r="Z181" s="152"/>
      <c r="AA181" s="152"/>
      <c r="AB181" s="152"/>
      <c r="AC181" s="152"/>
      <c r="AD181" s="152"/>
      <c r="AE181" s="152"/>
      <c r="AF181" s="152"/>
      <c r="AG181" s="152"/>
      <c r="AH181" s="152"/>
      <c r="AI181" s="152"/>
      <c r="AJ181" s="152"/>
      <c r="AK181" s="152"/>
      <c r="AL181" s="152"/>
      <c r="AM181" s="152"/>
      <c r="AN181" s="152"/>
      <c r="AO181" s="152"/>
      <c r="AP181" s="152"/>
      <c r="AQ181" s="152"/>
      <c r="AR181" s="152"/>
      <c r="AS181" s="152"/>
      <c r="AT181" s="152"/>
      <c r="AU181" s="152"/>
      <c r="AV181" s="152"/>
      <c r="AW181" s="152"/>
      <c r="AX181" s="152"/>
      <c r="AY181" s="152"/>
      <c r="AZ181" s="152"/>
      <c r="BA181" s="152"/>
      <c r="BB181" s="152"/>
      <c r="BC181" s="152"/>
      <c r="BD181" s="152"/>
      <c r="BE181" s="152"/>
      <c r="BF181" s="152"/>
    </row>
    <row r="182" s="1" customFormat="1" customHeight="1" spans="1:58">
      <c r="A182" s="61"/>
      <c r="B182" s="55" t="s">
        <v>54</v>
      </c>
      <c r="C182" s="56">
        <v>60</v>
      </c>
      <c r="D182" s="138">
        <v>1</v>
      </c>
      <c r="E182" s="139">
        <v>0.4</v>
      </c>
      <c r="F182" s="140">
        <v>2.3</v>
      </c>
      <c r="G182" s="260">
        <f t="shared" si="42"/>
        <v>16.8</v>
      </c>
      <c r="H182" s="62" t="s">
        <v>65</v>
      </c>
      <c r="I182" s="152"/>
      <c r="J182" s="152"/>
      <c r="K182" s="152"/>
      <c r="L182" s="152"/>
      <c r="M182" s="152"/>
      <c r="N182" s="152"/>
      <c r="O182" s="152"/>
      <c r="P182" s="152"/>
      <c r="Q182" s="152"/>
      <c r="R182" s="152"/>
      <c r="S182" s="152"/>
      <c r="T182" s="152"/>
      <c r="U182" s="152"/>
      <c r="V182" s="152"/>
      <c r="W182" s="152"/>
      <c r="X182" s="152"/>
      <c r="Y182" s="152"/>
      <c r="Z182" s="152"/>
      <c r="AA182" s="152"/>
      <c r="AB182" s="152"/>
      <c r="AC182" s="152"/>
      <c r="AD182" s="152"/>
      <c r="AE182" s="152"/>
      <c r="AF182" s="152"/>
      <c r="AG182" s="152"/>
      <c r="AH182" s="152"/>
      <c r="AI182" s="152"/>
      <c r="AJ182" s="152"/>
      <c r="AK182" s="152"/>
      <c r="AL182" s="152"/>
      <c r="AM182" s="152"/>
      <c r="AN182" s="152"/>
      <c r="AO182" s="152"/>
      <c r="AP182" s="152"/>
      <c r="AQ182" s="152"/>
      <c r="AR182" s="152"/>
      <c r="AS182" s="152"/>
      <c r="AT182" s="152"/>
      <c r="AU182" s="152"/>
      <c r="AV182" s="152"/>
      <c r="AW182" s="152"/>
      <c r="AX182" s="152"/>
      <c r="AY182" s="152"/>
      <c r="AZ182" s="152"/>
      <c r="BA182" s="152"/>
      <c r="BB182" s="152"/>
      <c r="BC182" s="152"/>
      <c r="BD182" s="152"/>
      <c r="BE182" s="152"/>
      <c r="BF182" s="152"/>
    </row>
    <row r="183" s="1" customFormat="1" customHeight="1" spans="1:58">
      <c r="A183" s="61"/>
      <c r="B183" s="55" t="s">
        <v>36</v>
      </c>
      <c r="C183" s="56" t="s">
        <v>37</v>
      </c>
      <c r="D183" s="138">
        <v>7.34</v>
      </c>
      <c r="E183" s="139">
        <v>2.1</v>
      </c>
      <c r="F183" s="140">
        <v>45.9</v>
      </c>
      <c r="G183" s="260">
        <f t="shared" si="42"/>
        <v>231.86</v>
      </c>
      <c r="H183" s="62" t="s">
        <v>23</v>
      </c>
      <c r="I183" s="152"/>
      <c r="J183" s="152"/>
      <c r="K183" s="152"/>
      <c r="L183" s="152"/>
      <c r="M183" s="152"/>
      <c r="N183" s="152"/>
      <c r="O183" s="152"/>
      <c r="P183" s="152"/>
      <c r="Q183" s="152"/>
      <c r="R183" s="152"/>
      <c r="S183" s="152"/>
      <c r="T183" s="152"/>
      <c r="U183" s="152"/>
      <c r="V183" s="152"/>
      <c r="W183" s="152"/>
      <c r="X183" s="152"/>
      <c r="Y183" s="152"/>
      <c r="Z183" s="152"/>
      <c r="AA183" s="152"/>
      <c r="AB183" s="152"/>
      <c r="AC183" s="152"/>
      <c r="AD183" s="152"/>
      <c r="AE183" s="152"/>
      <c r="AF183" s="152"/>
      <c r="AG183" s="152"/>
      <c r="AH183" s="152"/>
      <c r="AI183" s="152"/>
      <c r="AJ183" s="152"/>
      <c r="AK183" s="152"/>
      <c r="AL183" s="152"/>
      <c r="AM183" s="152"/>
      <c r="AN183" s="152"/>
      <c r="AO183" s="152"/>
      <c r="AP183" s="152"/>
      <c r="AQ183" s="152"/>
      <c r="AR183" s="152"/>
      <c r="AS183" s="152"/>
      <c r="AT183" s="152"/>
      <c r="AU183" s="152"/>
      <c r="AV183" s="152"/>
      <c r="AW183" s="152"/>
      <c r="AX183" s="152"/>
      <c r="AY183" s="152"/>
      <c r="AZ183" s="152"/>
      <c r="BA183" s="152"/>
      <c r="BB183" s="152"/>
      <c r="BC183" s="152"/>
      <c r="BD183" s="152"/>
      <c r="BE183" s="152"/>
      <c r="BF183" s="152"/>
    </row>
    <row r="184" s="1" customFormat="1" customHeight="1" spans="1:58">
      <c r="A184" s="88"/>
      <c r="B184" s="89" t="s">
        <v>77</v>
      </c>
      <c r="C184" s="90">
        <v>200</v>
      </c>
      <c r="D184" s="310">
        <v>0.43</v>
      </c>
      <c r="E184" s="311">
        <v>0.02</v>
      </c>
      <c r="F184" s="312">
        <v>27.6</v>
      </c>
      <c r="G184" s="260">
        <f t="shared" si="42"/>
        <v>112.3</v>
      </c>
      <c r="H184" s="68" t="s">
        <v>141</v>
      </c>
      <c r="I184" s="152"/>
      <c r="J184" s="152"/>
      <c r="K184" s="152"/>
      <c r="L184" s="152"/>
      <c r="M184" s="152"/>
      <c r="N184" s="152"/>
      <c r="O184" s="152"/>
      <c r="P184" s="152"/>
      <c r="Q184" s="152"/>
      <c r="R184" s="152"/>
      <c r="S184" s="152"/>
      <c r="T184" s="152"/>
      <c r="U184" s="152"/>
      <c r="V184" s="152"/>
      <c r="W184" s="152"/>
      <c r="X184" s="152"/>
      <c r="Y184" s="152"/>
      <c r="Z184" s="152"/>
      <c r="AA184" s="152"/>
      <c r="AB184" s="152"/>
      <c r="AC184" s="152"/>
      <c r="AD184" s="152"/>
      <c r="AE184" s="152"/>
      <c r="AF184" s="152"/>
      <c r="AG184" s="152"/>
      <c r="AH184" s="152"/>
      <c r="AI184" s="152"/>
      <c r="AJ184" s="152"/>
      <c r="AK184" s="152"/>
      <c r="AL184" s="152"/>
      <c r="AM184" s="152"/>
      <c r="AN184" s="152"/>
      <c r="AO184" s="152"/>
      <c r="AP184" s="152"/>
      <c r="AQ184" s="152"/>
      <c r="AR184" s="152"/>
      <c r="AS184" s="152"/>
      <c r="AT184" s="152"/>
      <c r="AU184" s="152"/>
      <c r="AV184" s="152"/>
      <c r="AW184" s="152"/>
      <c r="AX184" s="152"/>
      <c r="AY184" s="152"/>
      <c r="AZ184" s="152"/>
      <c r="BA184" s="152"/>
      <c r="BB184" s="152"/>
      <c r="BC184" s="152"/>
      <c r="BD184" s="152"/>
      <c r="BE184" s="152"/>
      <c r="BF184" s="152"/>
    </row>
    <row r="185" s="1" customFormat="1" customHeight="1" spans="1:58">
      <c r="A185" s="264" t="s">
        <v>25</v>
      </c>
      <c r="B185" s="265"/>
      <c r="C185" s="182">
        <f>SUM(C180:C184)+100</f>
        <v>810</v>
      </c>
      <c r="D185" s="302">
        <f t="shared" ref="D185:G185" si="43">SUM(D180:D184)</f>
        <v>35.71</v>
      </c>
      <c r="E185" s="303">
        <f t="shared" si="43"/>
        <v>22.62</v>
      </c>
      <c r="F185" s="304">
        <f t="shared" si="43"/>
        <v>128.4</v>
      </c>
      <c r="G185" s="305">
        <f t="shared" si="43"/>
        <v>860.02</v>
      </c>
      <c r="H185" s="76"/>
      <c r="I185" s="152"/>
      <c r="J185" s="152"/>
      <c r="K185" s="152"/>
      <c r="L185" s="152"/>
      <c r="M185" s="152"/>
      <c r="N185" s="152"/>
      <c r="O185" s="152"/>
      <c r="P185" s="152"/>
      <c r="Q185" s="152"/>
      <c r="R185" s="152"/>
      <c r="S185" s="152"/>
      <c r="T185" s="152"/>
      <c r="U185" s="152"/>
      <c r="V185" s="152"/>
      <c r="W185" s="152"/>
      <c r="X185" s="152"/>
      <c r="Y185" s="152"/>
      <c r="Z185" s="152"/>
      <c r="AA185" s="152"/>
      <c r="AB185" s="152"/>
      <c r="AC185" s="152"/>
      <c r="AD185" s="152"/>
      <c r="AE185" s="152"/>
      <c r="AF185" s="152"/>
      <c r="AG185" s="152"/>
      <c r="AH185" s="152"/>
      <c r="AI185" s="152"/>
      <c r="AJ185" s="152"/>
      <c r="AK185" s="152"/>
      <c r="AL185" s="152"/>
      <c r="AM185" s="152"/>
      <c r="AN185" s="152"/>
      <c r="AO185" s="152"/>
      <c r="AP185" s="152"/>
      <c r="AQ185" s="152"/>
      <c r="AR185" s="152"/>
      <c r="AS185" s="152"/>
      <c r="AT185" s="152"/>
      <c r="AU185" s="152"/>
      <c r="AV185" s="152"/>
      <c r="AW185" s="152"/>
      <c r="AX185" s="152"/>
      <c r="AY185" s="152"/>
      <c r="AZ185" s="152"/>
      <c r="BA185" s="152"/>
      <c r="BB185" s="152"/>
      <c r="BC185" s="152"/>
      <c r="BD185" s="152"/>
      <c r="BE185" s="152"/>
      <c r="BF185" s="152"/>
    </row>
    <row r="186" s="1" customFormat="1" customHeight="1" spans="1:58">
      <c r="A186" s="270" t="s">
        <v>40</v>
      </c>
      <c r="B186" s="265"/>
      <c r="C186" s="95">
        <f>C185+C178</f>
        <v>1390</v>
      </c>
      <c r="D186" s="306">
        <f t="shared" ref="D186:G186" si="44">D185+D178</f>
        <v>63.4</v>
      </c>
      <c r="E186" s="307">
        <f t="shared" si="44"/>
        <v>46.23</v>
      </c>
      <c r="F186" s="308">
        <f t="shared" si="44"/>
        <v>234.87</v>
      </c>
      <c r="G186" s="309">
        <f t="shared" si="44"/>
        <v>1609.15</v>
      </c>
      <c r="H186" s="76"/>
      <c r="I186" s="152"/>
      <c r="J186" s="152"/>
      <c r="K186" s="152"/>
      <c r="L186" s="152"/>
      <c r="M186" s="152"/>
      <c r="N186" s="152"/>
      <c r="O186" s="152"/>
      <c r="P186" s="152"/>
      <c r="Q186" s="152"/>
      <c r="R186" s="152"/>
      <c r="S186" s="152"/>
      <c r="T186" s="152"/>
      <c r="U186" s="152"/>
      <c r="V186" s="152"/>
      <c r="W186" s="152"/>
      <c r="X186" s="152"/>
      <c r="Y186" s="152"/>
      <c r="Z186" s="152"/>
      <c r="AA186" s="152"/>
      <c r="AB186" s="152"/>
      <c r="AC186" s="152"/>
      <c r="AD186" s="152"/>
      <c r="AE186" s="152"/>
      <c r="AF186" s="152"/>
      <c r="AG186" s="152"/>
      <c r="AH186" s="152"/>
      <c r="AI186" s="152"/>
      <c r="AJ186" s="152"/>
      <c r="AK186" s="152"/>
      <c r="AL186" s="152"/>
      <c r="AM186" s="152"/>
      <c r="AN186" s="152"/>
      <c r="AO186" s="152"/>
      <c r="AP186" s="152"/>
      <c r="AQ186" s="152"/>
      <c r="AR186" s="152"/>
      <c r="AS186" s="152"/>
      <c r="AT186" s="152"/>
      <c r="AU186" s="152"/>
      <c r="AV186" s="152"/>
      <c r="AW186" s="152"/>
      <c r="AX186" s="152"/>
      <c r="AY186" s="152"/>
      <c r="AZ186" s="152"/>
      <c r="BA186" s="152"/>
      <c r="BB186" s="152"/>
      <c r="BC186" s="152"/>
      <c r="BD186" s="152"/>
      <c r="BE186" s="152"/>
      <c r="BF186" s="152"/>
    </row>
    <row r="187" s="1" customFormat="1" customHeight="1" spans="1:58">
      <c r="A187" s="100"/>
      <c r="B187" s="101"/>
      <c r="C187" s="106"/>
      <c r="D187" s="296"/>
      <c r="E187" s="296"/>
      <c r="F187" s="296"/>
      <c r="G187" s="297"/>
      <c r="H187" s="76"/>
      <c r="I187" s="152"/>
      <c r="J187" s="152"/>
      <c r="K187" s="152"/>
      <c r="L187" s="152"/>
      <c r="M187" s="152"/>
      <c r="N187" s="152"/>
      <c r="O187" s="152"/>
      <c r="P187" s="152"/>
      <c r="Q187" s="152"/>
      <c r="R187" s="152"/>
      <c r="S187" s="152"/>
      <c r="T187" s="152"/>
      <c r="U187" s="152"/>
      <c r="V187" s="152"/>
      <c r="W187" s="152"/>
      <c r="X187" s="152"/>
      <c r="Y187" s="152"/>
      <c r="Z187" s="152"/>
      <c r="AA187" s="152"/>
      <c r="AB187" s="152"/>
      <c r="AC187" s="152"/>
      <c r="AD187" s="152"/>
      <c r="AE187" s="152"/>
      <c r="AF187" s="152"/>
      <c r="AG187" s="152"/>
      <c r="AH187" s="152"/>
      <c r="AI187" s="152"/>
      <c r="AJ187" s="152"/>
      <c r="AK187" s="152"/>
      <c r="AL187" s="152"/>
      <c r="AM187" s="152"/>
      <c r="AN187" s="152"/>
      <c r="AO187" s="152"/>
      <c r="AP187" s="152"/>
      <c r="AQ187" s="152"/>
      <c r="AR187" s="152"/>
      <c r="AS187" s="152"/>
      <c r="AT187" s="152"/>
      <c r="AU187" s="152"/>
      <c r="AV187" s="152"/>
      <c r="AW187" s="152"/>
      <c r="AX187" s="152"/>
      <c r="AY187" s="152"/>
      <c r="AZ187" s="152"/>
      <c r="BA187" s="152"/>
      <c r="BB187" s="152"/>
      <c r="BC187" s="152"/>
      <c r="BD187" s="152"/>
      <c r="BE187" s="152"/>
      <c r="BF187" s="152"/>
    </row>
    <row r="188" ht="17.25" customHeight="1" spans="1:17">
      <c r="A188" s="134"/>
      <c r="B188" s="109" t="s">
        <v>95</v>
      </c>
      <c r="C188" s="109"/>
      <c r="D188" s="109"/>
      <c r="E188" s="109"/>
      <c r="F188" s="109"/>
      <c r="G188" s="109"/>
      <c r="H188" s="76"/>
      <c r="J188" s="152"/>
      <c r="K188" s="3"/>
      <c r="L188" s="3"/>
      <c r="M188" s="3"/>
      <c r="N188" s="3"/>
      <c r="O188" s="3"/>
      <c r="P188" s="3"/>
      <c r="Q188" s="3"/>
    </row>
    <row r="189" ht="17.25" customHeight="1" spans="1:17">
      <c r="A189" s="172" t="s">
        <v>13</v>
      </c>
      <c r="B189" s="173"/>
      <c r="C189" s="110"/>
      <c r="D189" s="173"/>
      <c r="E189" s="173"/>
      <c r="F189" s="298"/>
      <c r="G189" s="298"/>
      <c r="H189" s="76"/>
      <c r="J189" s="152"/>
      <c r="K189" s="3"/>
      <c r="L189" s="3"/>
      <c r="M189" s="3"/>
      <c r="N189" s="3"/>
      <c r="O189" s="3"/>
      <c r="P189" s="3"/>
      <c r="Q189" s="3"/>
    </row>
    <row r="190" s="1" customFormat="1" customHeight="1" spans="1:58">
      <c r="A190" s="207"/>
      <c r="B190" s="82" t="s">
        <v>142</v>
      </c>
      <c r="C190" s="83">
        <v>180</v>
      </c>
      <c r="D190" s="299">
        <v>3.8</v>
      </c>
      <c r="E190" s="300">
        <v>7.9</v>
      </c>
      <c r="F190" s="301">
        <v>34.3</v>
      </c>
      <c r="G190" s="260">
        <f>(D190*4)+(E190*9)+(F190*4)</f>
        <v>223.5</v>
      </c>
      <c r="H190" s="87" t="s">
        <v>143</v>
      </c>
      <c r="I190" s="152"/>
      <c r="J190" s="152"/>
      <c r="K190" s="152"/>
      <c r="L190" s="152"/>
      <c r="M190" s="152"/>
      <c r="N190" s="152"/>
      <c r="O190" s="152"/>
      <c r="P190" s="152"/>
      <c r="Q190" s="152"/>
      <c r="R190" s="152"/>
      <c r="S190" s="152"/>
      <c r="T190" s="152"/>
      <c r="U190" s="152"/>
      <c r="V190" s="152"/>
      <c r="W190" s="152"/>
      <c r="X190" s="152"/>
      <c r="Y190" s="152"/>
      <c r="Z190" s="152"/>
      <c r="AA190" s="152"/>
      <c r="AB190" s="152"/>
      <c r="AC190" s="152"/>
      <c r="AD190" s="152"/>
      <c r="AE190" s="152"/>
      <c r="AF190" s="152"/>
      <c r="AG190" s="152"/>
      <c r="AH190" s="152"/>
      <c r="AI190" s="152"/>
      <c r="AJ190" s="152"/>
      <c r="AK190" s="152"/>
      <c r="AL190" s="152"/>
      <c r="AM190" s="152"/>
      <c r="AN190" s="152"/>
      <c r="AO190" s="152"/>
      <c r="AP190" s="152"/>
      <c r="AQ190" s="152"/>
      <c r="AR190" s="152"/>
      <c r="AS190" s="152"/>
      <c r="AT190" s="152"/>
      <c r="AU190" s="152"/>
      <c r="AV190" s="152"/>
      <c r="AW190" s="152"/>
      <c r="AX190" s="152"/>
      <c r="AY190" s="152"/>
      <c r="AZ190" s="152"/>
      <c r="BA190" s="152"/>
      <c r="BB190" s="152"/>
      <c r="BC190" s="152"/>
      <c r="BD190" s="152"/>
      <c r="BE190" s="152"/>
      <c r="BF190" s="152"/>
    </row>
    <row r="191" s="1" customFormat="1" customHeight="1" spans="1:58">
      <c r="A191" s="61"/>
      <c r="B191" s="55" t="s">
        <v>144</v>
      </c>
      <c r="C191" s="56">
        <v>200</v>
      </c>
      <c r="D191" s="138">
        <v>0.02</v>
      </c>
      <c r="E191" s="139">
        <v>0</v>
      </c>
      <c r="F191" s="140">
        <v>15</v>
      </c>
      <c r="G191" s="260">
        <f t="shared" ref="G191:G196" si="45">(D191*4)+(E191*9)+(F191*4)</f>
        <v>60.08</v>
      </c>
      <c r="H191" s="62" t="s">
        <v>145</v>
      </c>
      <c r="I191" s="152"/>
      <c r="J191" s="152"/>
      <c r="K191" s="152"/>
      <c r="L191" s="152"/>
      <c r="M191" s="152"/>
      <c r="N191" s="152"/>
      <c r="O191" s="152"/>
      <c r="P191" s="152"/>
      <c r="Q191" s="152"/>
      <c r="R191" s="152"/>
      <c r="S191" s="152"/>
      <c r="T191" s="152"/>
      <c r="U191" s="152"/>
      <c r="V191" s="152"/>
      <c r="W191" s="152"/>
      <c r="X191" s="152"/>
      <c r="Y191" s="152"/>
      <c r="Z191" s="152"/>
      <c r="AA191" s="152"/>
      <c r="AB191" s="152"/>
      <c r="AC191" s="152"/>
      <c r="AD191" s="152"/>
      <c r="AE191" s="152"/>
      <c r="AF191" s="152"/>
      <c r="AG191" s="152"/>
      <c r="AH191" s="152"/>
      <c r="AI191" s="152"/>
      <c r="AJ191" s="152"/>
      <c r="AK191" s="152"/>
      <c r="AL191" s="152"/>
      <c r="AM191" s="152"/>
      <c r="AN191" s="152"/>
      <c r="AO191" s="152"/>
      <c r="AP191" s="152"/>
      <c r="AQ191" s="152"/>
      <c r="AR191" s="152"/>
      <c r="AS191" s="152"/>
      <c r="AT191" s="152"/>
      <c r="AU191" s="152"/>
      <c r="AV191" s="152"/>
      <c r="AW191" s="152"/>
      <c r="AX191" s="152"/>
      <c r="AY191" s="152"/>
      <c r="AZ191" s="152"/>
      <c r="BA191" s="152"/>
      <c r="BB191" s="152"/>
      <c r="BC191" s="152"/>
      <c r="BD191" s="152"/>
      <c r="BE191" s="152"/>
      <c r="BF191" s="152"/>
    </row>
    <row r="192" s="1" customFormat="1" customHeight="1" spans="1:58">
      <c r="A192" s="61"/>
      <c r="B192" s="55" t="s">
        <v>20</v>
      </c>
      <c r="C192" s="56">
        <v>10</v>
      </c>
      <c r="D192" s="138">
        <v>2.5</v>
      </c>
      <c r="E192" s="139">
        <v>2.5</v>
      </c>
      <c r="F192" s="140">
        <v>3.23</v>
      </c>
      <c r="G192" s="260">
        <f t="shared" si="45"/>
        <v>45.42</v>
      </c>
      <c r="H192" s="62" t="s">
        <v>146</v>
      </c>
      <c r="I192" s="152"/>
      <c r="J192" s="152"/>
      <c r="K192" s="152"/>
      <c r="L192" s="152"/>
      <c r="M192" s="152"/>
      <c r="N192" s="152"/>
      <c r="O192" s="152"/>
      <c r="P192" s="152"/>
      <c r="Q192" s="152"/>
      <c r="R192" s="152"/>
      <c r="S192" s="152"/>
      <c r="T192" s="152"/>
      <c r="U192" s="152"/>
      <c r="V192" s="152"/>
      <c r="W192" s="152"/>
      <c r="X192" s="152"/>
      <c r="Y192" s="152"/>
      <c r="Z192" s="152"/>
      <c r="AA192" s="152"/>
      <c r="AB192" s="152"/>
      <c r="AC192" s="152"/>
      <c r="AD192" s="152"/>
      <c r="AE192" s="152"/>
      <c r="AF192" s="152"/>
      <c r="AG192" s="152"/>
      <c r="AH192" s="152"/>
      <c r="AI192" s="152"/>
      <c r="AJ192" s="152"/>
      <c r="AK192" s="152"/>
      <c r="AL192" s="152"/>
      <c r="AM192" s="152"/>
      <c r="AN192" s="152"/>
      <c r="AO192" s="152"/>
      <c r="AP192" s="152"/>
      <c r="AQ192" s="152"/>
      <c r="AR192" s="152"/>
      <c r="AS192" s="152"/>
      <c r="AT192" s="152"/>
      <c r="AU192" s="152"/>
      <c r="AV192" s="152"/>
      <c r="AW192" s="152"/>
      <c r="AX192" s="152"/>
      <c r="AY192" s="152"/>
      <c r="AZ192" s="152"/>
      <c r="BA192" s="152"/>
      <c r="BB192" s="152"/>
      <c r="BC192" s="152"/>
      <c r="BD192" s="152"/>
      <c r="BE192" s="152"/>
      <c r="BF192" s="152"/>
    </row>
    <row r="193" s="1" customFormat="1" customHeight="1" spans="1:58">
      <c r="A193" s="61"/>
      <c r="B193" s="55" t="s">
        <v>18</v>
      </c>
      <c r="C193" s="56">
        <v>20</v>
      </c>
      <c r="D193" s="138">
        <v>0.01</v>
      </c>
      <c r="E193" s="139">
        <v>7.25</v>
      </c>
      <c r="F193" s="140">
        <v>0.13</v>
      </c>
      <c r="G193" s="260">
        <f t="shared" si="45"/>
        <v>65.81</v>
      </c>
      <c r="H193" s="62" t="s">
        <v>147</v>
      </c>
      <c r="I193" s="152"/>
      <c r="J193" s="152"/>
      <c r="K193" s="152"/>
      <c r="L193" s="152"/>
      <c r="M193" s="152"/>
      <c r="N193" s="152">
        <v>6</v>
      </c>
      <c r="O193" s="152"/>
      <c r="P193" s="152"/>
      <c r="Q193" s="152"/>
      <c r="R193" s="152"/>
      <c r="S193" s="152"/>
      <c r="T193" s="152"/>
      <c r="U193" s="152"/>
      <c r="V193" s="152"/>
      <c r="W193" s="152"/>
      <c r="X193" s="152"/>
      <c r="Y193" s="152"/>
      <c r="Z193" s="152"/>
      <c r="AA193" s="152"/>
      <c r="AB193" s="152"/>
      <c r="AC193" s="152"/>
      <c r="AD193" s="152"/>
      <c r="AE193" s="152"/>
      <c r="AF193" s="152"/>
      <c r="AG193" s="152"/>
      <c r="AH193" s="152"/>
      <c r="AI193" s="152"/>
      <c r="AJ193" s="152"/>
      <c r="AK193" s="152"/>
      <c r="AL193" s="152"/>
      <c r="AM193" s="152"/>
      <c r="AN193" s="152"/>
      <c r="AO193" s="152"/>
      <c r="AP193" s="152"/>
      <c r="AQ193" s="152"/>
      <c r="AR193" s="152"/>
      <c r="AS193" s="152"/>
      <c r="AT193" s="152"/>
      <c r="AU193" s="152"/>
      <c r="AV193" s="152"/>
      <c r="AW193" s="152"/>
      <c r="AX193" s="152"/>
      <c r="AY193" s="152"/>
      <c r="AZ193" s="152"/>
      <c r="BA193" s="152"/>
      <c r="BB193" s="152"/>
      <c r="BC193" s="152"/>
      <c r="BD193" s="152"/>
      <c r="BE193" s="152"/>
      <c r="BF193" s="152"/>
    </row>
    <row r="194" s="1" customFormat="1" customHeight="1" spans="1:58">
      <c r="A194" s="61"/>
      <c r="B194" s="55" t="s">
        <v>22</v>
      </c>
      <c r="C194" s="191">
        <v>40</v>
      </c>
      <c r="D194" s="138">
        <v>3.04</v>
      </c>
      <c r="E194" s="139">
        <v>0.4</v>
      </c>
      <c r="F194" s="140">
        <v>24.6</v>
      </c>
      <c r="G194" s="260">
        <f t="shared" si="45"/>
        <v>114.16</v>
      </c>
      <c r="H194" s="62" t="s">
        <v>23</v>
      </c>
      <c r="I194" s="152"/>
      <c r="J194" s="152"/>
      <c r="K194" s="152"/>
      <c r="L194" s="152"/>
      <c r="M194" s="152"/>
      <c r="N194" s="152"/>
      <c r="O194" s="152"/>
      <c r="P194" s="152"/>
      <c r="Q194" s="152"/>
      <c r="R194" s="152"/>
      <c r="S194" s="152"/>
      <c r="T194" s="152"/>
      <c r="U194" s="152"/>
      <c r="V194" s="152"/>
      <c r="W194" s="152"/>
      <c r="X194" s="152"/>
      <c r="Y194" s="152"/>
      <c r="Z194" s="152"/>
      <c r="AA194" s="152"/>
      <c r="AB194" s="152"/>
      <c r="AC194" s="152"/>
      <c r="AD194" s="152"/>
      <c r="AE194" s="152"/>
      <c r="AF194" s="152"/>
      <c r="AG194" s="152"/>
      <c r="AH194" s="152"/>
      <c r="AI194" s="152"/>
      <c r="AJ194" s="152"/>
      <c r="AK194" s="152"/>
      <c r="AL194" s="152"/>
      <c r="AM194" s="152"/>
      <c r="AN194" s="152"/>
      <c r="AO194" s="152"/>
      <c r="AP194" s="152"/>
      <c r="AQ194" s="152"/>
      <c r="AR194" s="152"/>
      <c r="AS194" s="152"/>
      <c r="AT194" s="152"/>
      <c r="AU194" s="152"/>
      <c r="AV194" s="152"/>
      <c r="AW194" s="152"/>
      <c r="AX194" s="152"/>
      <c r="AY194" s="152"/>
      <c r="AZ194" s="152"/>
      <c r="BA194" s="152"/>
      <c r="BB194" s="152"/>
      <c r="BC194" s="152"/>
      <c r="BD194" s="152"/>
      <c r="BE194" s="152"/>
      <c r="BF194" s="152"/>
    </row>
    <row r="195" s="1" customFormat="1" customHeight="1" spans="1:58">
      <c r="A195" s="181"/>
      <c r="B195" s="89" t="s">
        <v>148</v>
      </c>
      <c r="C195" s="90">
        <v>150</v>
      </c>
      <c r="D195" s="245">
        <v>0.4</v>
      </c>
      <c r="E195" s="246">
        <v>0.4</v>
      </c>
      <c r="F195" s="247">
        <v>9.8</v>
      </c>
      <c r="G195" s="260">
        <f t="shared" si="45"/>
        <v>44.4</v>
      </c>
      <c r="H195" s="179" t="s">
        <v>23</v>
      </c>
      <c r="I195" s="152"/>
      <c r="J195" s="152"/>
      <c r="K195" s="152"/>
      <c r="L195" s="152"/>
      <c r="M195" s="152"/>
      <c r="N195" s="152"/>
      <c r="O195" s="152"/>
      <c r="P195" s="152"/>
      <c r="Q195" s="152"/>
      <c r="R195" s="152"/>
      <c r="S195" s="152"/>
      <c r="T195" s="152"/>
      <c r="U195" s="152"/>
      <c r="V195" s="152"/>
      <c r="W195" s="152"/>
      <c r="X195" s="152"/>
      <c r="Y195" s="152"/>
      <c r="Z195" s="152"/>
      <c r="AA195" s="152"/>
      <c r="AB195" s="152"/>
      <c r="AC195" s="152"/>
      <c r="AD195" s="152"/>
      <c r="AE195" s="152"/>
      <c r="AF195" s="152"/>
      <c r="AG195" s="152"/>
      <c r="AH195" s="152"/>
      <c r="AI195" s="152"/>
      <c r="AJ195" s="152"/>
      <c r="AK195" s="152"/>
      <c r="AL195" s="152"/>
      <c r="AM195" s="152"/>
      <c r="AN195" s="152"/>
      <c r="AO195" s="152"/>
      <c r="AP195" s="152"/>
      <c r="AQ195" s="152"/>
      <c r="AR195" s="152"/>
      <c r="AS195" s="152"/>
      <c r="AT195" s="152"/>
      <c r="AU195" s="152"/>
      <c r="AV195" s="152"/>
      <c r="AW195" s="152"/>
      <c r="AX195" s="152"/>
      <c r="AY195" s="152"/>
      <c r="AZ195" s="152"/>
      <c r="BA195" s="152"/>
      <c r="BB195" s="152"/>
      <c r="BC195" s="152"/>
      <c r="BD195" s="152"/>
      <c r="BE195" s="152"/>
      <c r="BF195" s="152"/>
    </row>
    <row r="196" s="1" customFormat="1" ht="31" customHeight="1" spans="1:58">
      <c r="A196" s="61"/>
      <c r="B196" s="137" t="s">
        <v>66</v>
      </c>
      <c r="C196" s="56" t="s">
        <v>67</v>
      </c>
      <c r="D196" s="188">
        <v>0.08</v>
      </c>
      <c r="E196" s="189">
        <v>0</v>
      </c>
      <c r="F196" s="190">
        <v>12</v>
      </c>
      <c r="G196" s="260">
        <f t="shared" si="45"/>
        <v>48.32</v>
      </c>
      <c r="H196" s="62" t="s">
        <v>23</v>
      </c>
      <c r="I196" s="152"/>
      <c r="J196" s="152"/>
      <c r="K196" s="152"/>
      <c r="L196" s="152"/>
      <c r="M196" s="152"/>
      <c r="N196" s="152"/>
      <c r="O196" s="152"/>
      <c r="P196" s="152"/>
      <c r="Q196" s="152"/>
      <c r="R196" s="152"/>
      <c r="S196" s="152"/>
      <c r="T196" s="152"/>
      <c r="U196" s="152"/>
      <c r="V196" s="152"/>
      <c r="W196" s="152"/>
      <c r="X196" s="152"/>
      <c r="Y196" s="152"/>
      <c r="Z196" s="152"/>
      <c r="AA196" s="152"/>
      <c r="AB196" s="152"/>
      <c r="AC196" s="152"/>
      <c r="AD196" s="152"/>
      <c r="AE196" s="152"/>
      <c r="AF196" s="152"/>
      <c r="AG196" s="152"/>
      <c r="AH196" s="152"/>
      <c r="AI196" s="152"/>
      <c r="AJ196" s="152"/>
      <c r="AK196" s="152"/>
      <c r="AL196" s="152"/>
      <c r="AM196" s="152"/>
      <c r="AN196" s="152"/>
      <c r="AO196" s="152"/>
      <c r="AP196" s="152"/>
      <c r="AQ196" s="152"/>
      <c r="AR196" s="152"/>
      <c r="AS196" s="152"/>
      <c r="AT196" s="152"/>
      <c r="AU196" s="152"/>
      <c r="AV196" s="152"/>
      <c r="AW196" s="152"/>
      <c r="AX196" s="152"/>
      <c r="AY196" s="152"/>
      <c r="AZ196" s="152"/>
      <c r="BA196" s="152"/>
      <c r="BB196" s="152"/>
      <c r="BC196" s="152"/>
      <c r="BD196" s="152"/>
      <c r="BE196" s="152"/>
      <c r="BF196" s="152"/>
    </row>
    <row r="197" s="1" customFormat="1" customHeight="1" spans="1:58">
      <c r="A197" s="278" t="s">
        <v>25</v>
      </c>
      <c r="B197" s="284"/>
      <c r="C197" s="209">
        <f>SUM(C190:C195)</f>
        <v>600</v>
      </c>
      <c r="D197" s="322">
        <f t="shared" ref="D197:G197" si="46">SUM(D190:D195)</f>
        <v>9.77</v>
      </c>
      <c r="E197" s="323">
        <f t="shared" si="46"/>
        <v>18.45</v>
      </c>
      <c r="F197" s="324">
        <f t="shared" si="46"/>
        <v>87.06</v>
      </c>
      <c r="G197" s="325">
        <f t="shared" si="46"/>
        <v>553.37</v>
      </c>
      <c r="H197" s="76"/>
      <c r="I197" s="152"/>
      <c r="J197" s="152"/>
      <c r="K197" s="152"/>
      <c r="L197" s="152"/>
      <c r="M197" s="152"/>
      <c r="N197" s="152"/>
      <c r="O197" s="152"/>
      <c r="P197" s="152"/>
      <c r="Q197" s="152"/>
      <c r="R197" s="152"/>
      <c r="S197" s="152"/>
      <c r="T197" s="152"/>
      <c r="U197" s="152"/>
      <c r="V197" s="152"/>
      <c r="W197" s="152"/>
      <c r="X197" s="152"/>
      <c r="Y197" s="152"/>
      <c r="Z197" s="152"/>
      <c r="AA197" s="152"/>
      <c r="AB197" s="152"/>
      <c r="AC197" s="152"/>
      <c r="AD197" s="152"/>
      <c r="AE197" s="152"/>
      <c r="AF197" s="152"/>
      <c r="AG197" s="152"/>
      <c r="AH197" s="152"/>
      <c r="AI197" s="152"/>
      <c r="AJ197" s="152"/>
      <c r="AK197" s="152"/>
      <c r="AL197" s="152"/>
      <c r="AM197" s="152"/>
      <c r="AN197" s="152"/>
      <c r="AO197" s="152"/>
      <c r="AP197" s="152"/>
      <c r="AQ197" s="152"/>
      <c r="AR197" s="152"/>
      <c r="AS197" s="152"/>
      <c r="AT197" s="152"/>
      <c r="AU197" s="152"/>
      <c r="AV197" s="152"/>
      <c r="AW197" s="152"/>
      <c r="AX197" s="152"/>
      <c r="AY197" s="152"/>
      <c r="AZ197" s="152"/>
      <c r="BA197" s="152"/>
      <c r="BB197" s="152"/>
      <c r="BC197" s="152"/>
      <c r="BD197" s="152"/>
      <c r="BE197" s="152"/>
      <c r="BF197" s="152"/>
    </row>
    <row r="198" ht="17.25" customHeight="1" spans="1:17">
      <c r="A198" s="147" t="s">
        <v>26</v>
      </c>
      <c r="B198" s="289"/>
      <c r="C198" s="124"/>
      <c r="D198" s="326"/>
      <c r="E198" s="326"/>
      <c r="F198" s="256"/>
      <c r="G198" s="256"/>
      <c r="H198" s="76"/>
      <c r="I198" s="153"/>
      <c r="J198" s="152"/>
      <c r="K198" s="3"/>
      <c r="L198" s="3"/>
      <c r="M198" s="3"/>
      <c r="N198" s="3"/>
      <c r="O198" s="3"/>
      <c r="P198" s="3"/>
      <c r="Q198" s="3"/>
    </row>
    <row r="199" s="1" customFormat="1" customHeight="1" spans="1:58">
      <c r="A199" s="207"/>
      <c r="B199" s="82" t="s">
        <v>149</v>
      </c>
      <c r="C199" s="83">
        <v>250</v>
      </c>
      <c r="D199" s="257">
        <v>2.6</v>
      </c>
      <c r="E199" s="258">
        <v>5.3</v>
      </c>
      <c r="F199" s="259">
        <v>14.3</v>
      </c>
      <c r="G199" s="260">
        <f>(D199*4)+(E199*9)+(F199*4)</f>
        <v>115.3</v>
      </c>
      <c r="H199" s="87" t="s">
        <v>71</v>
      </c>
      <c r="I199" s="152"/>
      <c r="J199" s="152"/>
      <c r="K199" s="152"/>
      <c r="L199" s="152"/>
      <c r="M199" s="152"/>
      <c r="N199" s="152"/>
      <c r="O199" s="152"/>
      <c r="P199" s="152"/>
      <c r="Q199" s="152"/>
      <c r="R199" s="152"/>
      <c r="S199" s="152"/>
      <c r="T199" s="152"/>
      <c r="U199" s="152"/>
      <c r="V199" s="152"/>
      <c r="W199" s="152"/>
      <c r="X199" s="152"/>
      <c r="Y199" s="152"/>
      <c r="Z199" s="152"/>
      <c r="AA199" s="152"/>
      <c r="AB199" s="152"/>
      <c r="AC199" s="152"/>
      <c r="AD199" s="152"/>
      <c r="AE199" s="152"/>
      <c r="AF199" s="152"/>
      <c r="AG199" s="152"/>
      <c r="AH199" s="152"/>
      <c r="AI199" s="152"/>
      <c r="AJ199" s="152"/>
      <c r="AK199" s="152"/>
      <c r="AL199" s="152"/>
      <c r="AM199" s="152"/>
      <c r="AN199" s="152"/>
      <c r="AO199" s="152"/>
      <c r="AP199" s="152"/>
      <c r="AQ199" s="152"/>
      <c r="AR199" s="152"/>
      <c r="AS199" s="152"/>
      <c r="AT199" s="152"/>
      <c r="AU199" s="152"/>
      <c r="AV199" s="152"/>
      <c r="AW199" s="152"/>
      <c r="AX199" s="152"/>
      <c r="AY199" s="152"/>
      <c r="AZ199" s="152"/>
      <c r="BA199" s="152"/>
      <c r="BB199" s="152"/>
      <c r="BC199" s="152"/>
      <c r="BD199" s="152"/>
      <c r="BE199" s="152"/>
      <c r="BF199" s="152"/>
    </row>
    <row r="200" s="1" customFormat="1" customHeight="1" spans="1:58">
      <c r="A200" s="61"/>
      <c r="B200" s="55" t="s">
        <v>150</v>
      </c>
      <c r="C200" s="56">
        <v>90</v>
      </c>
      <c r="D200" s="188">
        <v>5.52</v>
      </c>
      <c r="E200" s="189">
        <v>5.27</v>
      </c>
      <c r="F200" s="190">
        <v>6.01</v>
      </c>
      <c r="G200" s="260">
        <f t="shared" ref="G200:G204" si="47">(D200*4)+(E200*9)+(F200*4)</f>
        <v>93.55</v>
      </c>
      <c r="H200" s="62" t="s">
        <v>151</v>
      </c>
      <c r="I200" s="152"/>
      <c r="J200" s="152"/>
      <c r="K200" s="152"/>
      <c r="L200" s="152"/>
      <c r="M200" s="152"/>
      <c r="N200" s="152"/>
      <c r="O200" s="152"/>
      <c r="P200" s="152"/>
      <c r="Q200" s="152"/>
      <c r="R200" s="152"/>
      <c r="S200" s="152"/>
      <c r="T200" s="152"/>
      <c r="U200" s="152"/>
      <c r="V200" s="152"/>
      <c r="W200" s="152"/>
      <c r="X200" s="152"/>
      <c r="Y200" s="152"/>
      <c r="Z200" s="152"/>
      <c r="AA200" s="152"/>
      <c r="AB200" s="152"/>
      <c r="AC200" s="152"/>
      <c r="AD200" s="152"/>
      <c r="AE200" s="152"/>
      <c r="AF200" s="152"/>
      <c r="AG200" s="152"/>
      <c r="AH200" s="152"/>
      <c r="AI200" s="152"/>
      <c r="AJ200" s="152"/>
      <c r="AK200" s="152"/>
      <c r="AL200" s="152"/>
      <c r="AM200" s="152"/>
      <c r="AN200" s="152"/>
      <c r="AO200" s="152"/>
      <c r="AP200" s="152"/>
      <c r="AQ200" s="152"/>
      <c r="AR200" s="152"/>
      <c r="AS200" s="152"/>
      <c r="AT200" s="152"/>
      <c r="AU200" s="152"/>
      <c r="AV200" s="152"/>
      <c r="AW200" s="152"/>
      <c r="AX200" s="152"/>
      <c r="AY200" s="152"/>
      <c r="AZ200" s="152"/>
      <c r="BA200" s="152"/>
      <c r="BB200" s="152"/>
      <c r="BC200" s="152"/>
      <c r="BD200" s="152"/>
      <c r="BE200" s="152"/>
      <c r="BF200" s="152"/>
    </row>
    <row r="201" s="1" customFormat="1" customHeight="1" spans="1:58">
      <c r="A201" s="61"/>
      <c r="B201" s="55" t="s">
        <v>152</v>
      </c>
      <c r="C201" s="56">
        <v>150</v>
      </c>
      <c r="D201" s="138">
        <v>6.3</v>
      </c>
      <c r="E201" s="139">
        <v>4.5</v>
      </c>
      <c r="F201" s="140">
        <v>38.8</v>
      </c>
      <c r="G201" s="260">
        <f t="shared" si="47"/>
        <v>220.9</v>
      </c>
      <c r="H201" s="62" t="s">
        <v>99</v>
      </c>
      <c r="I201" s="152"/>
      <c r="J201" s="152"/>
      <c r="K201" s="152"/>
      <c r="L201" s="152"/>
      <c r="M201" s="152"/>
      <c r="N201" s="152"/>
      <c r="O201" s="152"/>
      <c r="P201" s="152"/>
      <c r="Q201" s="152"/>
      <c r="R201" s="152"/>
      <c r="S201" s="152"/>
      <c r="T201" s="152"/>
      <c r="U201" s="152"/>
      <c r="V201" s="152"/>
      <c r="W201" s="152"/>
      <c r="X201" s="152"/>
      <c r="Y201" s="152"/>
      <c r="Z201" s="152"/>
      <c r="AA201" s="152"/>
      <c r="AB201" s="152"/>
      <c r="AC201" s="152"/>
      <c r="AD201" s="152"/>
      <c r="AE201" s="152"/>
      <c r="AF201" s="152"/>
      <c r="AG201" s="152"/>
      <c r="AH201" s="152"/>
      <c r="AI201" s="152"/>
      <c r="AJ201" s="152"/>
      <c r="AK201" s="152"/>
      <c r="AL201" s="152"/>
      <c r="AM201" s="152"/>
      <c r="AN201" s="152"/>
      <c r="AO201" s="152"/>
      <c r="AP201" s="152"/>
      <c r="AQ201" s="152"/>
      <c r="AR201" s="152"/>
      <c r="AS201" s="152"/>
      <c r="AT201" s="152"/>
      <c r="AU201" s="152"/>
      <c r="AV201" s="152"/>
      <c r="AW201" s="152"/>
      <c r="AX201" s="152"/>
      <c r="AY201" s="152"/>
      <c r="AZ201" s="152"/>
      <c r="BA201" s="152"/>
      <c r="BB201" s="152"/>
      <c r="BC201" s="152"/>
      <c r="BD201" s="152"/>
      <c r="BE201" s="152"/>
      <c r="BF201" s="152"/>
    </row>
    <row r="202" s="1" customFormat="1" customHeight="1" spans="1:58">
      <c r="A202" s="61"/>
      <c r="B202" s="55" t="s">
        <v>34</v>
      </c>
      <c r="C202" s="56">
        <v>60</v>
      </c>
      <c r="D202" s="138">
        <v>1.86</v>
      </c>
      <c r="E202" s="139">
        <v>0.12</v>
      </c>
      <c r="F202" s="140">
        <v>3.9</v>
      </c>
      <c r="G202" s="260">
        <f t="shared" si="47"/>
        <v>24.12</v>
      </c>
      <c r="H202" s="62" t="s">
        <v>153</v>
      </c>
      <c r="I202" s="152"/>
      <c r="J202" s="152"/>
      <c r="K202" s="152"/>
      <c r="L202" s="152"/>
      <c r="M202" s="152"/>
      <c r="N202" s="152"/>
      <c r="O202" s="152"/>
      <c r="P202" s="152"/>
      <c r="Q202" s="152"/>
      <c r="R202" s="152"/>
      <c r="S202" s="152"/>
      <c r="T202" s="152"/>
      <c r="U202" s="152"/>
      <c r="V202" s="152"/>
      <c r="W202" s="152"/>
      <c r="X202" s="152"/>
      <c r="Y202" s="152"/>
      <c r="Z202" s="152"/>
      <c r="AA202" s="152"/>
      <c r="AB202" s="152"/>
      <c r="AC202" s="152"/>
      <c r="AD202" s="152"/>
      <c r="AE202" s="152"/>
      <c r="AF202" s="152"/>
      <c r="AG202" s="152"/>
      <c r="AH202" s="152"/>
      <c r="AI202" s="152"/>
      <c r="AJ202" s="152"/>
      <c r="AK202" s="152"/>
      <c r="AL202" s="152"/>
      <c r="AM202" s="152"/>
      <c r="AN202" s="152"/>
      <c r="AO202" s="152"/>
      <c r="AP202" s="152"/>
      <c r="AQ202" s="152"/>
      <c r="AR202" s="152"/>
      <c r="AS202" s="152"/>
      <c r="AT202" s="152"/>
      <c r="AU202" s="152"/>
      <c r="AV202" s="152"/>
      <c r="AW202" s="152"/>
      <c r="AX202" s="152"/>
      <c r="AY202" s="152"/>
      <c r="AZ202" s="152"/>
      <c r="BA202" s="152"/>
      <c r="BB202" s="152"/>
      <c r="BC202" s="152"/>
      <c r="BD202" s="152"/>
      <c r="BE202" s="152"/>
      <c r="BF202" s="152"/>
    </row>
    <row r="203" s="1" customFormat="1" customHeight="1" spans="1:58">
      <c r="A203" s="61"/>
      <c r="B203" s="55" t="s">
        <v>36</v>
      </c>
      <c r="C203" s="56" t="s">
        <v>37</v>
      </c>
      <c r="D203" s="138">
        <v>7.34</v>
      </c>
      <c r="E203" s="139">
        <v>2.1</v>
      </c>
      <c r="F203" s="140">
        <v>45.9</v>
      </c>
      <c r="G203" s="260">
        <f t="shared" si="47"/>
        <v>231.86</v>
      </c>
      <c r="H203" s="62" t="s">
        <v>23</v>
      </c>
      <c r="I203" s="152"/>
      <c r="J203" s="152"/>
      <c r="K203" s="152"/>
      <c r="L203" s="152"/>
      <c r="M203" s="152"/>
      <c r="N203" s="152"/>
      <c r="O203" s="152"/>
      <c r="P203" s="152"/>
      <c r="Q203" s="152"/>
      <c r="R203" s="152"/>
      <c r="S203" s="152"/>
      <c r="T203" s="152"/>
      <c r="U203" s="152"/>
      <c r="V203" s="152"/>
      <c r="W203" s="152"/>
      <c r="X203" s="152"/>
      <c r="Y203" s="152"/>
      <c r="Z203" s="152"/>
      <c r="AA203" s="152"/>
      <c r="AB203" s="152"/>
      <c r="AC203" s="152"/>
      <c r="AD203" s="152"/>
      <c r="AE203" s="152"/>
      <c r="AF203" s="152"/>
      <c r="AG203" s="152"/>
      <c r="AH203" s="152"/>
      <c r="AI203" s="152"/>
      <c r="AJ203" s="152"/>
      <c r="AK203" s="152"/>
      <c r="AL203" s="152"/>
      <c r="AM203" s="152"/>
      <c r="AN203" s="152"/>
      <c r="AO203" s="152"/>
      <c r="AP203" s="152"/>
      <c r="AQ203" s="152"/>
      <c r="AR203" s="152"/>
      <c r="AS203" s="152"/>
      <c r="AT203" s="152"/>
      <c r="AU203" s="152"/>
      <c r="AV203" s="152"/>
      <c r="AW203" s="152"/>
      <c r="AX203" s="152"/>
      <c r="AY203" s="152"/>
      <c r="AZ203" s="152"/>
      <c r="BA203" s="152"/>
      <c r="BB203" s="152"/>
      <c r="BC203" s="152"/>
      <c r="BD203" s="152"/>
      <c r="BE203" s="152"/>
      <c r="BF203" s="152"/>
    </row>
    <row r="204" s="1" customFormat="1" customHeight="1" spans="1:58">
      <c r="A204" s="88"/>
      <c r="B204" s="89" t="s">
        <v>93</v>
      </c>
      <c r="C204" s="90">
        <v>200</v>
      </c>
      <c r="D204" s="261">
        <v>0.6</v>
      </c>
      <c r="E204" s="262">
        <v>0.02</v>
      </c>
      <c r="F204" s="263">
        <v>30.4</v>
      </c>
      <c r="G204" s="260">
        <f t="shared" si="47"/>
        <v>124.18</v>
      </c>
      <c r="H204" s="68" t="s">
        <v>154</v>
      </c>
      <c r="I204" s="152"/>
      <c r="J204" s="152"/>
      <c r="K204" s="152"/>
      <c r="L204" s="152"/>
      <c r="M204" s="152"/>
      <c r="N204" s="152"/>
      <c r="O204" s="152"/>
      <c r="P204" s="152"/>
      <c r="Q204" s="152"/>
      <c r="R204" s="152"/>
      <c r="S204" s="152"/>
      <c r="T204" s="152"/>
      <c r="U204" s="152"/>
      <c r="V204" s="152"/>
      <c r="W204" s="152"/>
      <c r="X204" s="152"/>
      <c r="Y204" s="152"/>
      <c r="Z204" s="152"/>
      <c r="AA204" s="152"/>
      <c r="AB204" s="152"/>
      <c r="AC204" s="152"/>
      <c r="AD204" s="152"/>
      <c r="AE204" s="152"/>
      <c r="AF204" s="152"/>
      <c r="AG204" s="152"/>
      <c r="AH204" s="152"/>
      <c r="AI204" s="152"/>
      <c r="AJ204" s="152"/>
      <c r="AK204" s="152"/>
      <c r="AL204" s="152"/>
      <c r="AM204" s="152"/>
      <c r="AN204" s="152"/>
      <c r="AO204" s="152"/>
      <c r="AP204" s="152"/>
      <c r="AQ204" s="152"/>
      <c r="AR204" s="152"/>
      <c r="AS204" s="152"/>
      <c r="AT204" s="152"/>
      <c r="AU204" s="152"/>
      <c r="AV204" s="152"/>
      <c r="AW204" s="152"/>
      <c r="AX204" s="152"/>
      <c r="AY204" s="152"/>
      <c r="AZ204" s="152"/>
      <c r="BA204" s="152"/>
      <c r="BB204" s="152"/>
      <c r="BC204" s="152"/>
      <c r="BD204" s="152"/>
      <c r="BE204" s="152"/>
      <c r="BF204" s="152"/>
    </row>
    <row r="205" s="1" customFormat="1" customHeight="1" spans="1:58">
      <c r="A205" s="264" t="s">
        <v>25</v>
      </c>
      <c r="B205" s="265"/>
      <c r="C205" s="182">
        <f>SUM(C199:C204)+100</f>
        <v>850</v>
      </c>
      <c r="D205" s="314">
        <f>SUM(D199:D204)</f>
        <v>24.22</v>
      </c>
      <c r="E205" s="315">
        <f t="shared" ref="E205:G205" si="48">SUM(E199:E204)</f>
        <v>17.31</v>
      </c>
      <c r="F205" s="316">
        <f t="shared" si="48"/>
        <v>139.31</v>
      </c>
      <c r="G205" s="317">
        <f t="shared" si="48"/>
        <v>809.91</v>
      </c>
      <c r="H205" s="76"/>
      <c r="I205" s="152"/>
      <c r="J205" s="152"/>
      <c r="K205" s="152"/>
      <c r="L205" s="152"/>
      <c r="M205" s="152"/>
      <c r="N205" s="152"/>
      <c r="O205" s="152"/>
      <c r="P205" s="152"/>
      <c r="Q205" s="152"/>
      <c r="R205" s="152"/>
      <c r="S205" s="152"/>
      <c r="T205" s="152"/>
      <c r="U205" s="152"/>
      <c r="V205" s="152"/>
      <c r="W205" s="152"/>
      <c r="X205" s="152"/>
      <c r="Y205" s="152"/>
      <c r="Z205" s="152"/>
      <c r="AA205" s="152"/>
      <c r="AB205" s="152"/>
      <c r="AC205" s="152"/>
      <c r="AD205" s="152"/>
      <c r="AE205" s="152"/>
      <c r="AF205" s="152"/>
      <c r="AG205" s="152"/>
      <c r="AH205" s="152"/>
      <c r="AI205" s="152"/>
      <c r="AJ205" s="152"/>
      <c r="AK205" s="152"/>
      <c r="AL205" s="152"/>
      <c r="AM205" s="152"/>
      <c r="AN205" s="152"/>
      <c r="AO205" s="152"/>
      <c r="AP205" s="152"/>
      <c r="AQ205" s="152"/>
      <c r="AR205" s="152"/>
      <c r="AS205" s="152"/>
      <c r="AT205" s="152"/>
      <c r="AU205" s="152"/>
      <c r="AV205" s="152"/>
      <c r="AW205" s="152"/>
      <c r="AX205" s="152"/>
      <c r="AY205" s="152"/>
      <c r="AZ205" s="152"/>
      <c r="BA205" s="152"/>
      <c r="BB205" s="152"/>
      <c r="BC205" s="152"/>
      <c r="BD205" s="152"/>
      <c r="BE205" s="152"/>
      <c r="BF205" s="152"/>
    </row>
    <row r="206" s="1" customFormat="1" customHeight="1" spans="1:58">
      <c r="A206" s="270" t="s">
        <v>40</v>
      </c>
      <c r="B206" s="265"/>
      <c r="C206" s="95">
        <f>C205+C197</f>
        <v>1450</v>
      </c>
      <c r="D206" s="306">
        <f t="shared" ref="D206:G206" si="49">D205+D197</f>
        <v>33.99</v>
      </c>
      <c r="E206" s="307">
        <f t="shared" si="49"/>
        <v>35.76</v>
      </c>
      <c r="F206" s="308">
        <f t="shared" si="49"/>
        <v>226.37</v>
      </c>
      <c r="G206" s="309">
        <f t="shared" si="49"/>
        <v>1363.28</v>
      </c>
      <c r="H206" s="76"/>
      <c r="I206" s="152"/>
      <c r="J206" s="152"/>
      <c r="K206" s="152"/>
      <c r="L206" s="152"/>
      <c r="M206" s="152"/>
      <c r="N206" s="152"/>
      <c r="O206" s="152"/>
      <c r="P206" s="152"/>
      <c r="Q206" s="152"/>
      <c r="R206" s="152"/>
      <c r="S206" s="152"/>
      <c r="T206" s="152"/>
      <c r="U206" s="152"/>
      <c r="V206" s="152"/>
      <c r="W206" s="152"/>
      <c r="X206" s="152"/>
      <c r="Y206" s="152"/>
      <c r="Z206" s="152"/>
      <c r="AA206" s="152"/>
      <c r="AB206" s="152"/>
      <c r="AC206" s="152"/>
      <c r="AD206" s="152"/>
      <c r="AE206" s="152"/>
      <c r="AF206" s="152"/>
      <c r="AG206" s="152"/>
      <c r="AH206" s="152"/>
      <c r="AI206" s="152"/>
      <c r="AJ206" s="152"/>
      <c r="AK206" s="152"/>
      <c r="AL206" s="152"/>
      <c r="AM206" s="152"/>
      <c r="AN206" s="152"/>
      <c r="AO206" s="152"/>
      <c r="AP206" s="152"/>
      <c r="AQ206" s="152"/>
      <c r="AR206" s="152"/>
      <c r="AS206" s="152"/>
      <c r="AT206" s="152"/>
      <c r="AU206" s="152"/>
      <c r="AV206" s="152"/>
      <c r="AW206" s="152"/>
      <c r="AX206" s="152"/>
      <c r="AY206" s="152"/>
      <c r="AZ206" s="152"/>
      <c r="BA206" s="152"/>
      <c r="BB206" s="152"/>
      <c r="BC206" s="152"/>
      <c r="BD206" s="152"/>
      <c r="BE206" s="152"/>
      <c r="BF206" s="152"/>
    </row>
    <row r="207" s="1" customFormat="1" customHeight="1" spans="1:58">
      <c r="A207" s="100"/>
      <c r="B207" s="101"/>
      <c r="C207" s="106"/>
      <c r="D207" s="327"/>
      <c r="E207" s="327"/>
      <c r="F207" s="327"/>
      <c r="G207" s="328"/>
      <c r="H207" s="76"/>
      <c r="I207" s="152"/>
      <c r="J207" s="152"/>
      <c r="K207" s="152"/>
      <c r="L207" s="152"/>
      <c r="M207" s="152"/>
      <c r="N207" s="152"/>
      <c r="O207" s="152"/>
      <c r="P207" s="152"/>
      <c r="Q207" s="152"/>
      <c r="R207" s="152"/>
      <c r="S207" s="152"/>
      <c r="T207" s="152"/>
      <c r="U207" s="152"/>
      <c r="V207" s="152"/>
      <c r="W207" s="152"/>
      <c r="X207" s="152"/>
      <c r="Y207" s="152"/>
      <c r="Z207" s="152"/>
      <c r="AA207" s="152"/>
      <c r="AB207" s="152"/>
      <c r="AC207" s="152"/>
      <c r="AD207" s="152"/>
      <c r="AE207" s="152"/>
      <c r="AF207" s="152"/>
      <c r="AG207" s="152"/>
      <c r="AH207" s="152"/>
      <c r="AI207" s="152"/>
      <c r="AJ207" s="152"/>
      <c r="AK207" s="152"/>
      <c r="AL207" s="152"/>
      <c r="AM207" s="152"/>
      <c r="AN207" s="152"/>
      <c r="AO207" s="152"/>
      <c r="AP207" s="152"/>
      <c r="AQ207" s="152"/>
      <c r="AR207" s="152"/>
      <c r="AS207" s="152"/>
      <c r="AT207" s="152"/>
      <c r="AU207" s="152"/>
      <c r="AV207" s="152"/>
      <c r="AW207" s="152"/>
      <c r="AX207" s="152"/>
      <c r="AY207" s="152"/>
      <c r="AZ207" s="152"/>
      <c r="BA207" s="152"/>
      <c r="BB207" s="152"/>
      <c r="BC207" s="152"/>
      <c r="BD207" s="152"/>
      <c r="BE207" s="152"/>
      <c r="BF207" s="152"/>
    </row>
    <row r="208" s="1" customFormat="1" customHeight="1" spans="1:58">
      <c r="A208" s="128" t="s">
        <v>155</v>
      </c>
      <c r="B208" s="129"/>
      <c r="C208" s="329"/>
      <c r="D208" s="330">
        <f t="shared" ref="D208:F208" si="50">D206+D186+D168+D149+D130+D110+D91+D73+D53+D35</f>
        <v>519.03</v>
      </c>
      <c r="E208" s="330">
        <f t="shared" si="50"/>
        <v>458.6</v>
      </c>
      <c r="F208" s="330">
        <f t="shared" si="50"/>
        <v>2646.4</v>
      </c>
      <c r="G208" s="331">
        <f>(D208*4)+(E208*9)+(F208*4)</f>
        <v>16789.12</v>
      </c>
      <c r="H208" s="220"/>
      <c r="I208" s="152"/>
      <c r="J208" s="152"/>
      <c r="K208" s="152"/>
      <c r="L208" s="152"/>
      <c r="M208" s="152"/>
      <c r="N208" s="152"/>
      <c r="O208" s="152"/>
      <c r="P208" s="152"/>
      <c r="Q208" s="152"/>
      <c r="R208" s="152"/>
      <c r="S208" s="152"/>
      <c r="T208" s="152"/>
      <c r="U208" s="152"/>
      <c r="V208" s="152"/>
      <c r="W208" s="152"/>
      <c r="X208" s="152"/>
      <c r="Y208" s="152"/>
      <c r="Z208" s="152"/>
      <c r="AA208" s="152"/>
      <c r="AB208" s="152"/>
      <c r="AC208" s="152"/>
      <c r="AD208" s="152"/>
      <c r="AE208" s="152"/>
      <c r="AF208" s="152"/>
      <c r="AG208" s="152"/>
      <c r="AH208" s="152"/>
      <c r="AI208" s="152"/>
      <c r="AJ208" s="152"/>
      <c r="AK208" s="152"/>
      <c r="AL208" s="152"/>
      <c r="AM208" s="152"/>
      <c r="AN208" s="152"/>
      <c r="AO208" s="152"/>
      <c r="AP208" s="152"/>
      <c r="AQ208" s="152"/>
      <c r="AR208" s="152"/>
      <c r="AS208" s="152"/>
      <c r="AT208" s="152"/>
      <c r="AU208" s="152"/>
      <c r="AV208" s="152"/>
      <c r="AW208" s="152"/>
      <c r="AX208" s="152"/>
      <c r="AY208" s="152"/>
      <c r="AZ208" s="152"/>
      <c r="BA208" s="152"/>
      <c r="BB208" s="152"/>
      <c r="BC208" s="152"/>
      <c r="BD208" s="152"/>
      <c r="BE208" s="152"/>
      <c r="BF208" s="152"/>
    </row>
    <row r="209" s="1" customFormat="1" ht="7.5" customHeight="1" spans="1:66">
      <c r="A209" s="221"/>
      <c r="B209" s="136"/>
      <c r="C209" s="136"/>
      <c r="D209" s="332"/>
      <c r="E209" s="332"/>
      <c r="F209" s="332"/>
      <c r="G209" s="332"/>
      <c r="H209" s="223"/>
      <c r="I209" s="223"/>
      <c r="J209" s="223"/>
      <c r="K209" s="223"/>
      <c r="L209" s="332"/>
      <c r="M209" s="332"/>
      <c r="N209" s="332"/>
      <c r="O209" s="332"/>
      <c r="P209" s="8"/>
      <c r="Q209" s="152"/>
      <c r="R209" s="152"/>
      <c r="S209" s="152"/>
      <c r="T209" s="152"/>
      <c r="U209" s="152"/>
      <c r="V209" s="152"/>
      <c r="W209" s="152"/>
      <c r="X209" s="152"/>
      <c r="Y209" s="152"/>
      <c r="Z209" s="152"/>
      <c r="AA209" s="152"/>
      <c r="AB209" s="152"/>
      <c r="AC209" s="152"/>
      <c r="AD209" s="152"/>
      <c r="AE209" s="152"/>
      <c r="AF209" s="152"/>
      <c r="AG209" s="152"/>
      <c r="AH209" s="152"/>
      <c r="AI209" s="152"/>
      <c r="AJ209" s="152"/>
      <c r="AK209" s="152"/>
      <c r="AL209" s="152"/>
      <c r="AM209" s="152"/>
      <c r="AN209" s="152"/>
      <c r="AO209" s="152"/>
      <c r="AP209" s="152"/>
      <c r="AQ209" s="152"/>
      <c r="AR209" s="152"/>
      <c r="AS209" s="152"/>
      <c r="AT209" s="152"/>
      <c r="AU209" s="152"/>
      <c r="AV209" s="152"/>
      <c r="AW209" s="152"/>
      <c r="AX209" s="152"/>
      <c r="AY209" s="152"/>
      <c r="AZ209" s="152"/>
      <c r="BA209" s="152"/>
      <c r="BB209" s="152"/>
      <c r="BC209" s="152"/>
      <c r="BD209" s="152"/>
      <c r="BE209" s="152"/>
      <c r="BF209" s="152"/>
      <c r="BG209" s="152"/>
      <c r="BH209" s="152"/>
      <c r="BI209" s="152"/>
      <c r="BJ209" s="152"/>
      <c r="BK209" s="152"/>
      <c r="BL209" s="152"/>
      <c r="BM209" s="152"/>
      <c r="BN209" s="152"/>
    </row>
    <row r="210" s="1" customFormat="1" ht="14.25" customHeight="1" spans="1:66">
      <c r="A210" s="224" t="s">
        <v>156</v>
      </c>
      <c r="B210" s="225"/>
      <c r="C210" s="226"/>
      <c r="D210" s="223"/>
      <c r="E210" s="223"/>
      <c r="F210" s="223"/>
      <c r="G210" s="223"/>
      <c r="H210" s="223"/>
      <c r="I210" s="223"/>
      <c r="J210" s="223"/>
      <c r="K210" s="223"/>
      <c r="L210" s="223"/>
      <c r="M210" s="223"/>
      <c r="N210" s="223"/>
      <c r="O210" s="223"/>
      <c r="P210" s="153"/>
      <c r="Q210" s="152"/>
      <c r="R210" s="152"/>
      <c r="S210" s="152"/>
      <c r="T210" s="152"/>
      <c r="U210" s="152"/>
      <c r="V210" s="152"/>
      <c r="W210" s="152"/>
      <c r="X210" s="152"/>
      <c r="Y210" s="152"/>
      <c r="Z210" s="152"/>
      <c r="AA210" s="152"/>
      <c r="AB210" s="152"/>
      <c r="AC210" s="152"/>
      <c r="AD210" s="152"/>
      <c r="AE210" s="152"/>
      <c r="AF210" s="152"/>
      <c r="AG210" s="152"/>
      <c r="AH210" s="152"/>
      <c r="AI210" s="152"/>
      <c r="AJ210" s="152"/>
      <c r="AK210" s="152"/>
      <c r="AL210" s="152"/>
      <c r="AM210" s="152"/>
      <c r="AN210" s="152"/>
      <c r="AO210" s="152"/>
      <c r="AP210" s="152"/>
      <c r="AQ210" s="152"/>
      <c r="AR210" s="152"/>
      <c r="AS210" s="152"/>
      <c r="AT210" s="152"/>
      <c r="AU210" s="152"/>
      <c r="AV210" s="152"/>
      <c r="AW210" s="152"/>
      <c r="AX210" s="152"/>
      <c r="AY210" s="152"/>
      <c r="AZ210" s="152"/>
      <c r="BA210" s="152"/>
      <c r="BB210" s="152"/>
      <c r="BC210" s="152"/>
      <c r="BD210" s="152"/>
      <c r="BE210" s="152"/>
      <c r="BF210" s="152"/>
      <c r="BG210" s="152"/>
      <c r="BH210" s="152"/>
      <c r="BI210" s="152"/>
      <c r="BJ210" s="152"/>
      <c r="BK210" s="152"/>
      <c r="BL210" s="152"/>
      <c r="BM210" s="152"/>
      <c r="BN210" s="152"/>
    </row>
    <row r="211" s="1" customFormat="1" ht="14.25" customHeight="1" spans="1:66">
      <c r="A211" s="224" t="s">
        <v>157</v>
      </c>
      <c r="B211" s="225"/>
      <c r="C211" s="226"/>
      <c r="D211" s="223"/>
      <c r="E211" s="223"/>
      <c r="F211" s="223"/>
      <c r="G211" s="223"/>
      <c r="H211" s="223"/>
      <c r="I211" s="223"/>
      <c r="J211" s="223"/>
      <c r="K211" s="223"/>
      <c r="L211" s="223"/>
      <c r="M211" s="223"/>
      <c r="N211" s="223"/>
      <c r="O211" s="223"/>
      <c r="P211" s="8"/>
      <c r="Q211" s="152"/>
      <c r="R211" s="152"/>
      <c r="S211" s="152"/>
      <c r="T211" s="152"/>
      <c r="U211" s="152"/>
      <c r="V211" s="152"/>
      <c r="W211" s="152"/>
      <c r="X211" s="152"/>
      <c r="Y211" s="152"/>
      <c r="Z211" s="152"/>
      <c r="AA211" s="152"/>
      <c r="AB211" s="152"/>
      <c r="AC211" s="152"/>
      <c r="AD211" s="152"/>
      <c r="AE211" s="152"/>
      <c r="AF211" s="152"/>
      <c r="AG211" s="152"/>
      <c r="AH211" s="152"/>
      <c r="AI211" s="152"/>
      <c r="AJ211" s="152"/>
      <c r="AK211" s="152"/>
      <c r="AL211" s="152"/>
      <c r="AM211" s="152"/>
      <c r="AN211" s="152"/>
      <c r="AO211" s="152"/>
      <c r="AP211" s="152"/>
      <c r="AQ211" s="152"/>
      <c r="AR211" s="152"/>
      <c r="AS211" s="152"/>
      <c r="AT211" s="152"/>
      <c r="AU211" s="152"/>
      <c r="AV211" s="152"/>
      <c r="AW211" s="152"/>
      <c r="AX211" s="152"/>
      <c r="AY211" s="152"/>
      <c r="AZ211" s="152"/>
      <c r="BA211" s="152"/>
      <c r="BB211" s="152"/>
      <c r="BC211" s="152"/>
      <c r="BD211" s="152"/>
      <c r="BE211" s="152"/>
      <c r="BF211" s="152"/>
      <c r="BG211" s="152"/>
      <c r="BH211" s="152"/>
      <c r="BI211" s="152"/>
      <c r="BJ211" s="152"/>
      <c r="BK211" s="152"/>
      <c r="BL211" s="152"/>
      <c r="BM211" s="152"/>
      <c r="BN211" s="152"/>
    </row>
    <row r="212" s="1" customFormat="1" ht="14.25" customHeight="1" spans="1:66">
      <c r="A212" s="224" t="s">
        <v>158</v>
      </c>
      <c r="B212" s="225"/>
      <c r="C212" s="226"/>
      <c r="D212" s="223"/>
      <c r="E212" s="223"/>
      <c r="F212" s="223"/>
      <c r="G212" s="223"/>
      <c r="H212" s="223"/>
      <c r="I212" s="223"/>
      <c r="J212" s="223"/>
      <c r="K212" s="223"/>
      <c r="L212" s="223"/>
      <c r="M212" s="223"/>
      <c r="N212" s="223"/>
      <c r="O212" s="223"/>
      <c r="P212" s="8"/>
      <c r="Q212" s="152"/>
      <c r="R212" s="152"/>
      <c r="S212" s="152"/>
      <c r="T212" s="152"/>
      <c r="U212" s="152"/>
      <c r="V212" s="152"/>
      <c r="W212" s="152"/>
      <c r="X212" s="152"/>
      <c r="Y212" s="152"/>
      <c r="Z212" s="152"/>
      <c r="AA212" s="152"/>
      <c r="AB212" s="152"/>
      <c r="AC212" s="152"/>
      <c r="AD212" s="152"/>
      <c r="AE212" s="152"/>
      <c r="AF212" s="152"/>
      <c r="AG212" s="152"/>
      <c r="AH212" s="152"/>
      <c r="AI212" s="152"/>
      <c r="AJ212" s="152"/>
      <c r="AK212" s="152"/>
      <c r="AL212" s="152"/>
      <c r="AM212" s="152"/>
      <c r="AN212" s="152"/>
      <c r="AO212" s="152"/>
      <c r="AP212" s="152"/>
      <c r="AQ212" s="152"/>
      <c r="AR212" s="152"/>
      <c r="AS212" s="152"/>
      <c r="AT212" s="152"/>
      <c r="AU212" s="152"/>
      <c r="AV212" s="152"/>
      <c r="AW212" s="152"/>
      <c r="AX212" s="152"/>
      <c r="AY212" s="152"/>
      <c r="AZ212" s="152"/>
      <c r="BA212" s="152"/>
      <c r="BB212" s="152"/>
      <c r="BC212" s="152"/>
      <c r="BD212" s="152"/>
      <c r="BE212" s="152"/>
      <c r="BF212" s="152"/>
      <c r="BG212" s="152"/>
      <c r="BH212" s="152"/>
      <c r="BI212" s="152"/>
      <c r="BJ212" s="152"/>
      <c r="BK212" s="152"/>
      <c r="BL212" s="152"/>
      <c r="BM212" s="152"/>
      <c r="BN212" s="152"/>
    </row>
    <row r="213" s="1" customFormat="1" ht="14.25" customHeight="1" spans="1:66">
      <c r="A213" s="224" t="s">
        <v>159</v>
      </c>
      <c r="B213" s="333"/>
      <c r="C213" s="226"/>
      <c r="D213" s="223"/>
      <c r="E213" s="223"/>
      <c r="F213" s="223"/>
      <c r="G213" s="223"/>
      <c r="H213" s="223"/>
      <c r="I213" s="223"/>
      <c r="J213" s="223"/>
      <c r="K213" s="223"/>
      <c r="L213" s="223"/>
      <c r="M213" s="223"/>
      <c r="N213" s="223"/>
      <c r="O213" s="223"/>
      <c r="P213" s="8"/>
      <c r="Q213" s="152"/>
      <c r="R213" s="152"/>
      <c r="S213" s="152"/>
      <c r="T213" s="152"/>
      <c r="U213" s="152"/>
      <c r="V213" s="152"/>
      <c r="W213" s="152"/>
      <c r="X213" s="152"/>
      <c r="Y213" s="152"/>
      <c r="Z213" s="152"/>
      <c r="AA213" s="152"/>
      <c r="AB213" s="152"/>
      <c r="AC213" s="152"/>
      <c r="AD213" s="152"/>
      <c r="AE213" s="152"/>
      <c r="AF213" s="152"/>
      <c r="AG213" s="152"/>
      <c r="AH213" s="152"/>
      <c r="AI213" s="152"/>
      <c r="AJ213" s="152"/>
      <c r="AK213" s="152"/>
      <c r="AL213" s="152"/>
      <c r="AM213" s="152"/>
      <c r="AN213" s="152"/>
      <c r="AO213" s="152"/>
      <c r="AP213" s="152"/>
      <c r="AQ213" s="152"/>
      <c r="AR213" s="152"/>
      <c r="AS213" s="152"/>
      <c r="AT213" s="152"/>
      <c r="AU213" s="152"/>
      <c r="AV213" s="152"/>
      <c r="AW213" s="152"/>
      <c r="AX213" s="152"/>
      <c r="AY213" s="152"/>
      <c r="AZ213" s="152"/>
      <c r="BA213" s="152"/>
      <c r="BB213" s="152"/>
      <c r="BC213" s="152"/>
      <c r="BD213" s="152"/>
      <c r="BE213" s="152"/>
      <c r="BF213" s="152"/>
      <c r="BG213" s="152"/>
      <c r="BH213" s="152"/>
      <c r="BI213" s="152"/>
      <c r="BJ213" s="152"/>
      <c r="BK213" s="152"/>
      <c r="BL213" s="152"/>
      <c r="BM213" s="152"/>
      <c r="BN213" s="152"/>
    </row>
    <row r="214" s="1" customFormat="1" ht="14.25" customHeight="1" spans="1:66">
      <c r="A214" s="224" t="s">
        <v>160</v>
      </c>
      <c r="B214" s="333"/>
      <c r="C214" s="226"/>
      <c r="D214" s="223"/>
      <c r="E214" s="223"/>
      <c r="F214" s="223"/>
      <c r="G214" s="223"/>
      <c r="H214" s="223"/>
      <c r="I214" s="223"/>
      <c r="J214" s="223"/>
      <c r="K214" s="223"/>
      <c r="L214" s="223"/>
      <c r="M214" s="223"/>
      <c r="N214" s="223"/>
      <c r="O214" s="223"/>
      <c r="P214" s="8"/>
      <c r="Q214" s="152"/>
      <c r="R214" s="152"/>
      <c r="S214" s="152"/>
      <c r="T214" s="152"/>
      <c r="U214" s="152"/>
      <c r="V214" s="152"/>
      <c r="W214" s="152"/>
      <c r="X214" s="152"/>
      <c r="Y214" s="152"/>
      <c r="Z214" s="152"/>
      <c r="AA214" s="152"/>
      <c r="AB214" s="152"/>
      <c r="AC214" s="152"/>
      <c r="AD214" s="152"/>
      <c r="AE214" s="152"/>
      <c r="AF214" s="152"/>
      <c r="AG214" s="152"/>
      <c r="AH214" s="152"/>
      <c r="AI214" s="152"/>
      <c r="AJ214" s="152"/>
      <c r="AK214" s="152"/>
      <c r="AL214" s="152"/>
      <c r="AM214" s="152"/>
      <c r="AN214" s="152"/>
      <c r="AO214" s="152"/>
      <c r="AP214" s="152"/>
      <c r="AQ214" s="152"/>
      <c r="AR214" s="152"/>
      <c r="AS214" s="152"/>
      <c r="AT214" s="152"/>
      <c r="AU214" s="152"/>
      <c r="AV214" s="152"/>
      <c r="AW214" s="152"/>
      <c r="AX214" s="152"/>
      <c r="AY214" s="152"/>
      <c r="AZ214" s="152"/>
      <c r="BA214" s="152"/>
      <c r="BB214" s="152"/>
      <c r="BC214" s="152"/>
      <c r="BD214" s="152"/>
      <c r="BE214" s="152"/>
      <c r="BF214" s="152"/>
      <c r="BG214" s="152"/>
      <c r="BH214" s="152"/>
      <c r="BI214" s="152"/>
      <c r="BJ214" s="152"/>
      <c r="BK214" s="152"/>
      <c r="BL214" s="152"/>
      <c r="BM214" s="152"/>
      <c r="BN214" s="152"/>
    </row>
    <row r="215" s="1" customFormat="1" ht="14.25" customHeight="1" spans="1:66">
      <c r="A215" s="224" t="s">
        <v>161</v>
      </c>
      <c r="B215" s="333"/>
      <c r="C215" s="226"/>
      <c r="D215" s="223"/>
      <c r="E215" s="223"/>
      <c r="F215" s="223"/>
      <c r="G215" s="223"/>
      <c r="H215" s="7"/>
      <c r="I215" s="7"/>
      <c r="J215" s="7"/>
      <c r="K215" s="7"/>
      <c r="L215" s="223"/>
      <c r="M215" s="223"/>
      <c r="N215" s="223"/>
      <c r="O215" s="223"/>
      <c r="P215" s="8"/>
      <c r="Q215" s="152"/>
      <c r="R215" s="152"/>
      <c r="S215" s="152"/>
      <c r="T215" s="152"/>
      <c r="U215" s="152"/>
      <c r="V215" s="152"/>
      <c r="W215" s="152"/>
      <c r="X215" s="152"/>
      <c r="Y215" s="152"/>
      <c r="Z215" s="152"/>
      <c r="AA215" s="152"/>
      <c r="AB215" s="152"/>
      <c r="AC215" s="152"/>
      <c r="AD215" s="152"/>
      <c r="AE215" s="152"/>
      <c r="AF215" s="152"/>
      <c r="AG215" s="152"/>
      <c r="AH215" s="152"/>
      <c r="AI215" s="152"/>
      <c r="AJ215" s="152"/>
      <c r="AK215" s="152"/>
      <c r="AL215" s="152"/>
      <c r="AM215" s="152"/>
      <c r="AN215" s="152"/>
      <c r="AO215" s="152"/>
      <c r="AP215" s="152"/>
      <c r="AQ215" s="152"/>
      <c r="AR215" s="152"/>
      <c r="AS215" s="152"/>
      <c r="AT215" s="152"/>
      <c r="AU215" s="152"/>
      <c r="AV215" s="152"/>
      <c r="AW215" s="152"/>
      <c r="AX215" s="152"/>
      <c r="AY215" s="152"/>
      <c r="AZ215" s="152"/>
      <c r="BA215" s="152"/>
      <c r="BB215" s="152"/>
      <c r="BC215" s="152"/>
      <c r="BD215" s="152"/>
      <c r="BE215" s="152"/>
      <c r="BF215" s="152"/>
      <c r="BG215" s="152"/>
      <c r="BH215" s="152"/>
      <c r="BI215" s="152"/>
      <c r="BJ215" s="152"/>
      <c r="BK215" s="152"/>
      <c r="BL215" s="152"/>
      <c r="BM215" s="152"/>
      <c r="BN215" s="152"/>
    </row>
    <row r="216" customHeight="1" spans="16:18">
      <c r="P216" s="8"/>
      <c r="R216" s="152"/>
    </row>
    <row r="217" customHeight="1" spans="16:18">
      <c r="P217" s="8"/>
      <c r="R217" s="152"/>
    </row>
    <row r="218" customHeight="1" spans="16:18">
      <c r="P218" s="8"/>
      <c r="R218" s="152"/>
    </row>
    <row r="219" customHeight="1" spans="16:18">
      <c r="P219" s="8"/>
      <c r="R219" s="152"/>
    </row>
    <row r="220" customHeight="1" spans="16:18">
      <c r="P220" s="8"/>
      <c r="R220" s="152"/>
    </row>
    <row r="221" customHeight="1" spans="16:18">
      <c r="P221" s="8"/>
      <c r="R221" s="152"/>
    </row>
    <row r="222" customHeight="1" spans="16:18">
      <c r="P222" s="8"/>
      <c r="R222" s="152"/>
    </row>
    <row r="223" customHeight="1" spans="16:18">
      <c r="P223" s="8"/>
      <c r="R223" s="152"/>
    </row>
    <row r="224" customHeight="1" spans="16:18">
      <c r="P224" s="8"/>
      <c r="R224" s="152"/>
    </row>
    <row r="225" customHeight="1" spans="16:16">
      <c r="P225" s="8"/>
    </row>
    <row r="226" customHeight="1" spans="16:16">
      <c r="P226" s="8"/>
    </row>
    <row r="227" customHeight="1" spans="16:16">
      <c r="P227" s="8" t="s">
        <v>162</v>
      </c>
    </row>
    <row r="228" customHeight="1" spans="16:16">
      <c r="P228" s="8"/>
    </row>
    <row r="229" customHeight="1" spans="16:16">
      <c r="P229" s="8"/>
    </row>
    <row r="230" customHeight="1" spans="16:16">
      <c r="P230" s="8"/>
    </row>
  </sheetData>
  <mergeCells count="22">
    <mergeCell ref="K2:P2"/>
    <mergeCell ref="J3:P3"/>
    <mergeCell ref="J4:P4"/>
    <mergeCell ref="J5:P5"/>
    <mergeCell ref="A9:P9"/>
    <mergeCell ref="A10:P10"/>
    <mergeCell ref="A11:P11"/>
    <mergeCell ref="B12:M12"/>
    <mergeCell ref="D14:F14"/>
    <mergeCell ref="A36:C36"/>
    <mergeCell ref="A54:C54"/>
    <mergeCell ref="A74:C74"/>
    <mergeCell ref="A92:C92"/>
    <mergeCell ref="A111:C111"/>
    <mergeCell ref="A131:C131"/>
    <mergeCell ref="A150:C150"/>
    <mergeCell ref="A169:C169"/>
    <mergeCell ref="A187:C187"/>
    <mergeCell ref="A207:C207"/>
    <mergeCell ref="A208:C208"/>
    <mergeCell ref="C14:C15"/>
    <mergeCell ref="G14:G15"/>
  </mergeCells>
  <pageMargins left="0.25" right="0.25" top="0.75" bottom="0.75" header="0.3" footer="0.3"/>
  <pageSetup paperSize="9" scale="80" orientation="landscape"/>
  <headerFooter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M212"/>
  <sheetViews>
    <sheetView view="pageBreakPreview" zoomScale="90" zoomScaleNormal="90" topLeftCell="B1" workbookViewId="0">
      <selection activeCell="N18" sqref="N18:N19"/>
    </sheetView>
  </sheetViews>
  <sheetFormatPr defaultColWidth="9.17592592592593" defaultRowHeight="19.5" customHeight="1"/>
  <cols>
    <col min="1" max="1" width="16.8148148148148" style="2" customWidth="1"/>
    <col min="2" max="2" width="35.1759259259259" style="3" customWidth="1"/>
    <col min="3" max="3" width="10.2685185185185" style="4" customWidth="1"/>
    <col min="4" max="6" width="8" style="5" customWidth="1"/>
    <col min="7" max="7" width="9.4537037037037" style="5" customWidth="1"/>
    <col min="8" max="8" width="32.1759259259259" style="6" customWidth="1"/>
    <col min="9" max="15" width="8" style="6" customWidth="1"/>
    <col min="16" max="16" width="5.72222222222222" style="7" customWidth="1"/>
    <col min="17" max="17" width="5.5462962962963" style="8" customWidth="1"/>
    <col min="18" max="16384" width="9.17592592592593" style="3"/>
  </cols>
  <sheetData>
    <row r="1" customHeight="1" spans="1:1">
      <c r="A1" s="9"/>
    </row>
    <row r="2" customHeight="1" spans="1:16">
      <c r="A2" s="10"/>
      <c r="B2" s="11"/>
      <c r="F2" s="12"/>
      <c r="G2" s="13" t="s">
        <v>163</v>
      </c>
      <c r="K2" s="148"/>
      <c r="L2" s="148"/>
      <c r="M2" s="148"/>
      <c r="N2" s="148"/>
      <c r="O2" s="148"/>
      <c r="P2" s="148"/>
    </row>
    <row r="3" customHeight="1" spans="1:16">
      <c r="A3" s="14"/>
      <c r="D3" s="15"/>
      <c r="E3" s="15"/>
      <c r="F3" s="15"/>
      <c r="G3" s="16" t="s">
        <v>164</v>
      </c>
      <c r="J3" s="149"/>
      <c r="K3" s="149"/>
      <c r="L3" s="149"/>
      <c r="M3" s="149"/>
      <c r="N3" s="149"/>
      <c r="O3" s="149"/>
      <c r="P3" s="149"/>
    </row>
    <row r="4" customHeight="1" spans="1:16">
      <c r="A4" s="17"/>
      <c r="D4" s="18"/>
      <c r="E4" s="18"/>
      <c r="F4" s="18"/>
      <c r="G4" s="19" t="s">
        <v>165</v>
      </c>
      <c r="H4" s="20"/>
      <c r="J4" s="149"/>
      <c r="K4" s="149"/>
      <c r="L4" s="149"/>
      <c r="M4" s="149"/>
      <c r="N4" s="149"/>
      <c r="O4" s="149"/>
      <c r="P4" s="149"/>
    </row>
    <row r="5" customHeight="1" spans="1:16">
      <c r="A5" s="17"/>
      <c r="D5" s="15"/>
      <c r="E5" s="15"/>
      <c r="F5" s="15"/>
      <c r="G5" s="16" t="s">
        <v>166</v>
      </c>
      <c r="J5" s="149"/>
      <c r="K5" s="149"/>
      <c r="L5" s="149"/>
      <c r="M5" s="149"/>
      <c r="N5" s="149"/>
      <c r="O5" s="149"/>
      <c r="P5" s="149"/>
    </row>
    <row r="6" customHeight="1" spans="1:1">
      <c r="A6" s="17"/>
    </row>
    <row r="7" customHeight="1" spans="1:1">
      <c r="A7" s="17"/>
    </row>
    <row r="8" customHeight="1" spans="1:1">
      <c r="A8" s="17"/>
    </row>
    <row r="9" customHeight="1" spans="1:16">
      <c r="A9" s="21" t="s">
        <v>167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customHeight="1" spans="1:16">
      <c r="A10" s="21" t="s">
        <v>168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customHeight="1" spans="1:16">
      <c r="A11" s="21" t="s">
        <v>169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customHeight="1" spans="1:16">
      <c r="A12" s="22"/>
      <c r="B12" s="21" t="s">
        <v>170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50"/>
      <c r="P12" s="151"/>
    </row>
    <row r="13" customHeight="1" spans="2:17">
      <c r="B13" s="4"/>
      <c r="C13" s="3"/>
      <c r="P13" s="8"/>
      <c r="Q13" s="3"/>
    </row>
    <row r="14" s="1" customFormat="1" ht="24.75" customHeight="1" spans="1:58">
      <c r="A14" s="23" t="s">
        <v>171</v>
      </c>
      <c r="B14" s="24" t="s">
        <v>3</v>
      </c>
      <c r="C14" s="25" t="s">
        <v>4</v>
      </c>
      <c r="D14" s="26" t="s">
        <v>5</v>
      </c>
      <c r="E14" s="26"/>
      <c r="F14" s="26"/>
      <c r="G14" s="27" t="s">
        <v>6</v>
      </c>
      <c r="H14" s="28" t="s">
        <v>7</v>
      </c>
      <c r="I14" s="8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</row>
    <row r="15" s="1" customFormat="1" customHeight="1" spans="1:58">
      <c r="A15" s="29"/>
      <c r="B15" s="30"/>
      <c r="C15" s="31"/>
      <c r="D15" s="32" t="s">
        <v>8</v>
      </c>
      <c r="E15" s="33" t="s">
        <v>9</v>
      </c>
      <c r="F15" s="34" t="s">
        <v>10</v>
      </c>
      <c r="G15" s="35"/>
      <c r="H15" s="36"/>
      <c r="I15" s="8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</row>
    <row r="16" ht="17.25" customHeight="1" spans="1:17">
      <c r="A16" s="37" t="s">
        <v>11</v>
      </c>
      <c r="B16" s="38"/>
      <c r="C16" s="39"/>
      <c r="D16" s="40"/>
      <c r="E16" s="40"/>
      <c r="F16" s="40"/>
      <c r="G16" s="40"/>
      <c r="H16" s="41"/>
      <c r="I16" s="7"/>
      <c r="J16" s="7"/>
      <c r="K16" s="3"/>
      <c r="L16" s="3"/>
      <c r="M16" s="3"/>
      <c r="N16" s="3"/>
      <c r="O16" s="3"/>
      <c r="P16" s="3"/>
      <c r="Q16" s="3"/>
    </row>
    <row r="17" ht="17.25" customHeight="1" spans="1:17">
      <c r="A17" s="42"/>
      <c r="B17" s="43" t="s">
        <v>12</v>
      </c>
      <c r="C17" s="43"/>
      <c r="D17" s="43"/>
      <c r="E17" s="43"/>
      <c r="F17" s="43"/>
      <c r="G17" s="43"/>
      <c r="H17" s="41"/>
      <c r="I17" s="7"/>
      <c r="J17" s="7"/>
      <c r="K17" s="3"/>
      <c r="L17" s="3"/>
      <c r="M17" s="3"/>
      <c r="N17" s="3"/>
      <c r="O17" s="3"/>
      <c r="P17" s="3"/>
      <c r="Q17" s="3"/>
    </row>
    <row r="18" ht="17.25" customHeight="1" spans="1:17">
      <c r="A18" s="44" t="s">
        <v>13</v>
      </c>
      <c r="B18" s="45"/>
      <c r="C18" s="45"/>
      <c r="D18" s="45"/>
      <c r="E18" s="45"/>
      <c r="F18" s="45"/>
      <c r="G18" s="45"/>
      <c r="H18" s="41"/>
      <c r="I18" s="7"/>
      <c r="J18" s="7"/>
      <c r="K18" s="3"/>
      <c r="L18" s="3"/>
      <c r="M18" s="3"/>
      <c r="N18" s="3"/>
      <c r="O18" s="3"/>
      <c r="P18" s="3"/>
      <c r="Q18" s="3"/>
    </row>
    <row r="19" s="1" customFormat="1" ht="27.75" customHeight="1" spans="1:58">
      <c r="A19" s="46"/>
      <c r="B19" s="47" t="s">
        <v>14</v>
      </c>
      <c r="C19" s="48">
        <v>250</v>
      </c>
      <c r="D19" s="49">
        <f>7/200*250</f>
        <v>8.75</v>
      </c>
      <c r="E19" s="50">
        <f>7.9/200*250</f>
        <v>9.875</v>
      </c>
      <c r="F19" s="51">
        <f>24.7/200*250</f>
        <v>30.875</v>
      </c>
      <c r="G19" s="52">
        <f>(D19*4)+(E19*9)+(F19*4)</f>
        <v>247.375</v>
      </c>
      <c r="H19" s="53" t="s">
        <v>15</v>
      </c>
      <c r="I19" s="8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</row>
    <row r="20" s="1" customFormat="1" customHeight="1" spans="1:58">
      <c r="A20" s="54"/>
      <c r="B20" s="55" t="s">
        <v>16</v>
      </c>
      <c r="C20" s="56">
        <v>200</v>
      </c>
      <c r="D20" s="57">
        <v>0</v>
      </c>
      <c r="E20" s="58">
        <v>0</v>
      </c>
      <c r="F20" s="59">
        <v>11.98</v>
      </c>
      <c r="G20" s="52">
        <f t="shared" ref="G20:G24" si="0">(D20*4)+(E20*9)+(F20*4)</f>
        <v>47.92</v>
      </c>
      <c r="H20" s="60" t="s">
        <v>17</v>
      </c>
      <c r="I20" s="8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</row>
    <row r="21" s="1" customFormat="1" customHeight="1" spans="1:58">
      <c r="A21" s="54"/>
      <c r="B21" s="55" t="s">
        <v>18</v>
      </c>
      <c r="C21" s="56">
        <v>15</v>
      </c>
      <c r="D21" s="57">
        <f>4.09/10*15</f>
        <v>6.135</v>
      </c>
      <c r="E21" s="58">
        <f>4.6/10*15</f>
        <v>6.9</v>
      </c>
      <c r="F21" s="59">
        <f>0.49/10*15</f>
        <v>0.735</v>
      </c>
      <c r="G21" s="52">
        <f t="shared" si="0"/>
        <v>89.58</v>
      </c>
      <c r="H21" s="60" t="s">
        <v>19</v>
      </c>
      <c r="I21" s="8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</row>
    <row r="22" s="1" customFormat="1" customHeight="1" spans="1:58">
      <c r="A22" s="54"/>
      <c r="B22" s="55" t="s">
        <v>20</v>
      </c>
      <c r="C22" s="56">
        <v>10</v>
      </c>
      <c r="D22" s="57">
        <v>0.08</v>
      </c>
      <c r="E22" s="58">
        <v>7.25</v>
      </c>
      <c r="F22" s="59">
        <v>0.13</v>
      </c>
      <c r="G22" s="52">
        <f t="shared" si="0"/>
        <v>66.09</v>
      </c>
      <c r="H22" s="60" t="s">
        <v>21</v>
      </c>
      <c r="I22" s="8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</row>
    <row r="23" s="1" customFormat="1" customHeight="1" spans="1:58">
      <c r="A23" s="61"/>
      <c r="B23" s="55" t="s">
        <v>22</v>
      </c>
      <c r="C23" s="56">
        <v>50</v>
      </c>
      <c r="D23" s="57">
        <f>0.32/40*50</f>
        <v>0.4</v>
      </c>
      <c r="E23" s="58">
        <f>29/40*50</f>
        <v>36.25</v>
      </c>
      <c r="F23" s="59">
        <f>0.52/40*50</f>
        <v>0.65</v>
      </c>
      <c r="G23" s="52">
        <f t="shared" si="0"/>
        <v>330.45</v>
      </c>
      <c r="H23" s="62" t="s">
        <v>23</v>
      </c>
      <c r="I23" s="8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</row>
    <row r="24" s="1" customFormat="1" customHeight="1" spans="1:58">
      <c r="A24" s="61"/>
      <c r="B24" s="63" t="s">
        <v>24</v>
      </c>
      <c r="C24" s="64">
        <v>150</v>
      </c>
      <c r="D24" s="65">
        <f>0.6/100*150</f>
        <v>0.9</v>
      </c>
      <c r="E24" s="66">
        <f>0.6/100*150</f>
        <v>0.9</v>
      </c>
      <c r="F24" s="67">
        <f>14.7/100*150</f>
        <v>22.05</v>
      </c>
      <c r="G24" s="52">
        <f t="shared" si="0"/>
        <v>99.9</v>
      </c>
      <c r="H24" s="68" t="s">
        <v>23</v>
      </c>
      <c r="I24" s="8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</row>
    <row r="25" s="1" customFormat="1" customHeight="1" spans="1:58">
      <c r="A25" s="69" t="s">
        <v>25</v>
      </c>
      <c r="B25" s="70"/>
      <c r="C25" s="71">
        <f t="shared" ref="C25:G25" si="1">SUM(C19:C24)</f>
        <v>675</v>
      </c>
      <c r="D25" s="72">
        <f t="shared" si="1"/>
        <v>16.265</v>
      </c>
      <c r="E25" s="73">
        <f t="shared" si="1"/>
        <v>61.175</v>
      </c>
      <c r="F25" s="74">
        <f t="shared" si="1"/>
        <v>66.42</v>
      </c>
      <c r="G25" s="75">
        <f t="shared" si="1"/>
        <v>881.315</v>
      </c>
      <c r="H25" s="76"/>
      <c r="I25" s="8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</row>
    <row r="26" ht="17.25" customHeight="1" spans="1:17">
      <c r="A26" s="77" t="s">
        <v>26</v>
      </c>
      <c r="B26" s="78"/>
      <c r="C26" s="78"/>
      <c r="D26" s="79"/>
      <c r="E26" s="79"/>
      <c r="F26" s="80"/>
      <c r="G26" s="80"/>
      <c r="H26" s="81"/>
      <c r="I26" s="153"/>
      <c r="J26" s="153"/>
      <c r="K26" s="3"/>
      <c r="L26" s="3"/>
      <c r="M26" s="3"/>
      <c r="N26" s="3"/>
      <c r="O26" s="3"/>
      <c r="P26" s="3"/>
      <c r="Q26" s="3"/>
    </row>
    <row r="27" s="1" customFormat="1" ht="32.25" customHeight="1" spans="1:58">
      <c r="A27" s="61"/>
      <c r="B27" s="82" t="s">
        <v>172</v>
      </c>
      <c r="C27" s="83">
        <v>250</v>
      </c>
      <c r="D27" s="84">
        <v>1.7</v>
      </c>
      <c r="E27" s="85">
        <f>4.85</f>
        <v>4.85</v>
      </c>
      <c r="F27" s="86">
        <v>6.69</v>
      </c>
      <c r="G27" s="52">
        <f t="shared" ref="G27:G32" si="2">(D27*4)+(E27*9)+(F27*4)</f>
        <v>77.21</v>
      </c>
      <c r="H27" s="87" t="s">
        <v>173</v>
      </c>
      <c r="I27" s="3"/>
      <c r="J27" s="3"/>
      <c r="K27" s="3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</row>
    <row r="28" s="1" customFormat="1" customHeight="1" spans="1:58">
      <c r="A28" s="61"/>
      <c r="B28" s="55" t="s">
        <v>30</v>
      </c>
      <c r="C28" s="56">
        <v>100</v>
      </c>
      <c r="D28" s="57">
        <f>7.61/90*100</f>
        <v>8.45555555555556</v>
      </c>
      <c r="E28" s="58">
        <f>2.45/90*100</f>
        <v>2.72222222222222</v>
      </c>
      <c r="F28" s="59">
        <f>5.33/90*100</f>
        <v>5.92222222222222</v>
      </c>
      <c r="G28" s="52">
        <f t="shared" si="2"/>
        <v>82.0111111111111</v>
      </c>
      <c r="H28" s="62" t="s">
        <v>132</v>
      </c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</row>
    <row r="29" s="1" customFormat="1" customHeight="1" spans="1:58">
      <c r="A29" s="61"/>
      <c r="B29" s="55" t="s">
        <v>32</v>
      </c>
      <c r="C29" s="56">
        <v>200</v>
      </c>
      <c r="D29" s="57">
        <f>3.64/150*200</f>
        <v>4.85333333333333</v>
      </c>
      <c r="E29" s="58">
        <f>5.37/150*200</f>
        <v>7.16</v>
      </c>
      <c r="F29" s="59">
        <f>36.7/150*200</f>
        <v>48.9333333333333</v>
      </c>
      <c r="G29" s="52">
        <f t="shared" si="2"/>
        <v>279.586666666667</v>
      </c>
      <c r="H29" s="62" t="s">
        <v>107</v>
      </c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</row>
    <row r="30" s="1" customFormat="1" customHeight="1" spans="1:58">
      <c r="A30" s="61"/>
      <c r="B30" s="55" t="s">
        <v>34</v>
      </c>
      <c r="C30" s="56">
        <v>100</v>
      </c>
      <c r="D30" s="57">
        <f>1/60*100</f>
        <v>1.66666666666667</v>
      </c>
      <c r="E30" s="58">
        <f>4.5/60*100</f>
        <v>7.5</v>
      </c>
      <c r="F30" s="59">
        <f>4.25/60*100</f>
        <v>7.08333333333333</v>
      </c>
      <c r="G30" s="52">
        <f t="shared" si="2"/>
        <v>102.5</v>
      </c>
      <c r="H30" s="62" t="s">
        <v>153</v>
      </c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</row>
    <row r="31" s="1" customFormat="1" customHeight="1" spans="1:58">
      <c r="A31" s="61"/>
      <c r="B31" s="55" t="s">
        <v>36</v>
      </c>
      <c r="C31" s="56" t="s">
        <v>37</v>
      </c>
      <c r="D31" s="57">
        <f>3.16</f>
        <v>3.16</v>
      </c>
      <c r="E31" s="58">
        <f>0.4</f>
        <v>0.4</v>
      </c>
      <c r="F31" s="59">
        <f>19.6</f>
        <v>19.6</v>
      </c>
      <c r="G31" s="52">
        <f t="shared" si="2"/>
        <v>94.64</v>
      </c>
      <c r="H31" s="62" t="s">
        <v>23</v>
      </c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</row>
    <row r="32" s="1" customFormat="1" customHeight="1" spans="1:58">
      <c r="A32" s="88"/>
      <c r="B32" s="89" t="s">
        <v>38</v>
      </c>
      <c r="C32" s="90">
        <v>200</v>
      </c>
      <c r="D32" s="91">
        <f>0.13</f>
        <v>0.13</v>
      </c>
      <c r="E32" s="92">
        <f>0.04</f>
        <v>0.04</v>
      </c>
      <c r="F32" s="93">
        <f>27.3</f>
        <v>27.3</v>
      </c>
      <c r="G32" s="52">
        <f t="shared" si="2"/>
        <v>110.08</v>
      </c>
      <c r="H32" s="68" t="s">
        <v>123</v>
      </c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</row>
    <row r="33" s="1" customFormat="1" customHeight="1" spans="1:58">
      <c r="A33" s="69" t="s">
        <v>25</v>
      </c>
      <c r="B33" s="94"/>
      <c r="C33" s="95">
        <f>SUM(C28:C32)+275+100</f>
        <v>975</v>
      </c>
      <c r="D33" s="96">
        <f>SUM(D27:D32)</f>
        <v>19.9655555555556</v>
      </c>
      <c r="E33" s="97">
        <f t="shared" ref="E33:G33" si="3">SUM(E27:E32)</f>
        <v>22.6722222222222</v>
      </c>
      <c r="F33" s="98">
        <f t="shared" si="3"/>
        <v>115.528888888889</v>
      </c>
      <c r="G33" s="99">
        <f t="shared" si="3"/>
        <v>746.027777777778</v>
      </c>
      <c r="H33" s="76"/>
      <c r="I33" s="8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</row>
    <row r="34" s="1" customFormat="1" customHeight="1" spans="1:58">
      <c r="A34" s="100" t="s">
        <v>40</v>
      </c>
      <c r="B34" s="101"/>
      <c r="C34" s="102">
        <f>C25+C33</f>
        <v>1650</v>
      </c>
      <c r="D34" s="103">
        <f>SUM(D33)+E25</f>
        <v>81.1405555555556</v>
      </c>
      <c r="E34" s="103">
        <f t="shared" ref="E34:F34" si="4">SUM(E33)+F25</f>
        <v>89.0922222222222</v>
      </c>
      <c r="F34" s="104">
        <f t="shared" si="4"/>
        <v>996.843888888889</v>
      </c>
      <c r="G34" s="105">
        <f>G33+G25</f>
        <v>1627.34277777778</v>
      </c>
      <c r="H34" s="76"/>
      <c r="I34" s="8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</row>
    <row r="35" s="1" customFormat="1" customHeight="1" spans="1:58">
      <c r="A35" s="100"/>
      <c r="B35" s="101"/>
      <c r="C35" s="106"/>
      <c r="D35" s="107"/>
      <c r="E35" s="107"/>
      <c r="F35" s="107"/>
      <c r="G35" s="107"/>
      <c r="H35" s="76"/>
      <c r="I35" s="8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</row>
    <row r="36" ht="17.25" customHeight="1" spans="1:17">
      <c r="A36" s="108"/>
      <c r="B36" s="109" t="s">
        <v>41</v>
      </c>
      <c r="C36" s="109"/>
      <c r="D36" s="109"/>
      <c r="E36" s="109"/>
      <c r="F36" s="109"/>
      <c r="G36" s="109"/>
      <c r="H36" s="76"/>
      <c r="I36" s="8"/>
      <c r="J36" s="154"/>
      <c r="K36" s="3"/>
      <c r="L36" s="3"/>
      <c r="M36" s="3"/>
      <c r="N36" s="3"/>
      <c r="O36" s="3"/>
      <c r="P36" s="3"/>
      <c r="Q36" s="3"/>
    </row>
    <row r="37" ht="17.25" customHeight="1" spans="1:17">
      <c r="A37" s="77" t="s">
        <v>13</v>
      </c>
      <c r="B37" s="110"/>
      <c r="C37" s="110"/>
      <c r="D37" s="111"/>
      <c r="E37" s="111"/>
      <c r="F37" s="111"/>
      <c r="G37" s="111"/>
      <c r="H37" s="112"/>
      <c r="I37" s="155"/>
      <c r="J37" s="156"/>
      <c r="K37" s="157"/>
      <c r="L37" s="157"/>
      <c r="M37" s="157"/>
      <c r="N37" s="158"/>
      <c r="O37" s="159"/>
      <c r="P37" s="3"/>
      <c r="Q37" s="3"/>
    </row>
    <row r="38" s="1" customFormat="1" ht="33" customHeight="1" spans="1:58">
      <c r="A38" s="61"/>
      <c r="B38" s="82" t="s">
        <v>42</v>
      </c>
      <c r="C38" s="83">
        <v>200</v>
      </c>
      <c r="D38" s="84">
        <f>16.46/160*200</f>
        <v>20.575</v>
      </c>
      <c r="E38" s="85">
        <f>18.5/160*200</f>
        <v>23.125</v>
      </c>
      <c r="F38" s="86">
        <f>3.307/160*200</f>
        <v>4.13375</v>
      </c>
      <c r="G38" s="113">
        <f>(D38*4)+(E38*9)+(F38*4)</f>
        <v>306.96</v>
      </c>
      <c r="H38" s="114" t="s">
        <v>43</v>
      </c>
      <c r="I38" s="155"/>
      <c r="J38" s="156"/>
      <c r="K38" s="157"/>
      <c r="L38" s="157"/>
      <c r="M38" s="157"/>
      <c r="N38" s="158"/>
      <c r="O38" s="159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</row>
    <row r="39" s="1" customFormat="1" customHeight="1" spans="1:58">
      <c r="A39" s="115"/>
      <c r="B39" s="55" t="s">
        <v>44</v>
      </c>
      <c r="C39" s="56">
        <v>100</v>
      </c>
      <c r="D39" s="57">
        <f>0.93/60*100</f>
        <v>1.55</v>
      </c>
      <c r="E39" s="58">
        <f>0.06/60*100</f>
        <v>0.1</v>
      </c>
      <c r="F39" s="59">
        <f>1.95/60*100</f>
        <v>3.25</v>
      </c>
      <c r="G39" s="113">
        <f t="shared" ref="G39:G42" si="5">(D39*4)+(E39*9)+(F39*4)</f>
        <v>20.1</v>
      </c>
      <c r="H39" s="116" t="s">
        <v>45</v>
      </c>
      <c r="I39" s="155"/>
      <c r="J39" s="156"/>
      <c r="K39" s="157"/>
      <c r="L39" s="157"/>
      <c r="M39" s="157"/>
      <c r="N39" s="158"/>
      <c r="O39" s="159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</row>
    <row r="40" s="1" customFormat="1" customHeight="1" spans="1:58">
      <c r="A40" s="117"/>
      <c r="B40" s="118" t="s">
        <v>46</v>
      </c>
      <c r="C40" s="56">
        <v>200</v>
      </c>
      <c r="D40" s="57">
        <v>5.71</v>
      </c>
      <c r="E40" s="58">
        <v>4.8</v>
      </c>
      <c r="F40" s="59">
        <v>20.82</v>
      </c>
      <c r="G40" s="113">
        <f t="shared" si="5"/>
        <v>149.32</v>
      </c>
      <c r="H40" s="119" t="s">
        <v>47</v>
      </c>
      <c r="I40" s="155"/>
      <c r="J40" s="156"/>
      <c r="K40" s="157"/>
      <c r="L40" s="157"/>
      <c r="M40" s="157"/>
      <c r="N40" s="158"/>
      <c r="O40" s="159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</row>
    <row r="41" s="1" customFormat="1" customHeight="1" spans="1:58">
      <c r="A41" s="61"/>
      <c r="B41" s="55" t="s">
        <v>22</v>
      </c>
      <c r="C41" s="56">
        <v>50</v>
      </c>
      <c r="D41" s="57">
        <f>1.58/40*50</f>
        <v>1.975</v>
      </c>
      <c r="E41" s="58">
        <f>0.2/40*50</f>
        <v>0.25</v>
      </c>
      <c r="F41" s="59">
        <f>9.66/40*50</f>
        <v>12.075</v>
      </c>
      <c r="G41" s="113">
        <f t="shared" si="5"/>
        <v>58.45</v>
      </c>
      <c r="H41" s="114" t="s">
        <v>23</v>
      </c>
      <c r="I41" s="155"/>
      <c r="J41" s="156"/>
      <c r="K41" s="157"/>
      <c r="L41" s="157"/>
      <c r="M41" s="157"/>
      <c r="N41" s="158"/>
      <c r="O41" s="159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</row>
    <row r="42" s="1" customFormat="1" customHeight="1" spans="1:58">
      <c r="A42" s="61"/>
      <c r="B42" s="89" t="s">
        <v>24</v>
      </c>
      <c r="C42" s="90">
        <v>150</v>
      </c>
      <c r="D42" s="91">
        <f>0.4/100*150</f>
        <v>0.6</v>
      </c>
      <c r="E42" s="92">
        <f>0.3/100*150</f>
        <v>0.45</v>
      </c>
      <c r="F42" s="93">
        <f>10.3/100*150</f>
        <v>15.45</v>
      </c>
      <c r="G42" s="113">
        <f t="shared" si="5"/>
        <v>68.25</v>
      </c>
      <c r="H42" s="114" t="s">
        <v>23</v>
      </c>
      <c r="I42" s="155"/>
      <c r="J42" s="156"/>
      <c r="K42" s="157"/>
      <c r="L42" s="157"/>
      <c r="M42" s="157"/>
      <c r="N42" s="158"/>
      <c r="O42" s="159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</row>
    <row r="43" s="1" customFormat="1" customHeight="1" spans="1:58">
      <c r="A43" s="120" t="s">
        <v>25</v>
      </c>
      <c r="B43" s="121"/>
      <c r="C43" s="71">
        <v>700</v>
      </c>
      <c r="D43" s="72">
        <f t="shared" ref="D43:G43" si="6">SUM(D38:D42)</f>
        <v>30.41</v>
      </c>
      <c r="E43" s="73">
        <f t="shared" si="6"/>
        <v>28.725</v>
      </c>
      <c r="F43" s="74">
        <f t="shared" si="6"/>
        <v>55.72875</v>
      </c>
      <c r="G43" s="75">
        <f t="shared" si="6"/>
        <v>603.08</v>
      </c>
      <c r="H43" s="76"/>
      <c r="I43" s="8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  <c r="BE43" s="152"/>
      <c r="BF43" s="152"/>
    </row>
    <row r="44" ht="17.25" customHeight="1" spans="1:17">
      <c r="A44" s="122" t="s">
        <v>26</v>
      </c>
      <c r="B44" s="123"/>
      <c r="C44" s="124"/>
      <c r="D44" s="79"/>
      <c r="E44" s="79"/>
      <c r="F44" s="80"/>
      <c r="G44" s="80"/>
      <c r="H44" s="76"/>
      <c r="I44" s="8"/>
      <c r="J44" s="153"/>
      <c r="K44" s="3"/>
      <c r="L44" s="3"/>
      <c r="M44" s="3"/>
      <c r="N44" s="3"/>
      <c r="O44" s="3"/>
      <c r="P44" s="3"/>
      <c r="Q44" s="3"/>
    </row>
    <row r="45" s="1" customFormat="1" customHeight="1" spans="1:58">
      <c r="A45" s="61"/>
      <c r="B45" s="82" t="s">
        <v>174</v>
      </c>
      <c r="C45" s="125" t="s">
        <v>175</v>
      </c>
      <c r="D45" s="84">
        <v>6.2</v>
      </c>
      <c r="E45" s="85">
        <v>7.11</v>
      </c>
      <c r="F45" s="86">
        <v>22.3</v>
      </c>
      <c r="G45" s="52">
        <f>(D45*4)+(E45*9)+(F45*4)</f>
        <v>177.99</v>
      </c>
      <c r="H45" s="87" t="s">
        <v>49</v>
      </c>
      <c r="I45" s="153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</row>
    <row r="46" s="1" customFormat="1" customHeight="1" spans="1:58">
      <c r="A46" s="61"/>
      <c r="B46" s="55" t="s">
        <v>176</v>
      </c>
      <c r="C46" s="56">
        <v>100</v>
      </c>
      <c r="D46" s="57">
        <f>15.09/90*100</f>
        <v>16.7666666666667</v>
      </c>
      <c r="E46" s="58">
        <f>15.7/90*100</f>
        <v>17.4444444444444</v>
      </c>
      <c r="F46" s="59">
        <f>17.7/90*100</f>
        <v>19.6666666666667</v>
      </c>
      <c r="G46" s="52">
        <f t="shared" ref="G46:G50" si="7">(D46*4)+(E46*9)+(F46*4)</f>
        <v>302.733333333333</v>
      </c>
      <c r="H46" s="62" t="s">
        <v>177</v>
      </c>
      <c r="I46" s="8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  <c r="BE46" s="152"/>
      <c r="BF46" s="152"/>
    </row>
    <row r="47" s="1" customFormat="1" customHeight="1" spans="1:58">
      <c r="A47" s="61"/>
      <c r="B47" s="55" t="s">
        <v>52</v>
      </c>
      <c r="C47" s="56">
        <v>180</v>
      </c>
      <c r="D47" s="57">
        <f>7.56/150*180</f>
        <v>9.072</v>
      </c>
      <c r="E47" s="58">
        <f>6.5/150*180</f>
        <v>7.8</v>
      </c>
      <c r="F47" s="59">
        <f>46.5/150*180</f>
        <v>55.8</v>
      </c>
      <c r="G47" s="52">
        <f t="shared" si="7"/>
        <v>329.688</v>
      </c>
      <c r="H47" s="62" t="s">
        <v>99</v>
      </c>
      <c r="I47" s="8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</row>
    <row r="48" s="1" customFormat="1" customHeight="1" spans="1:58">
      <c r="A48" s="61"/>
      <c r="B48" s="55" t="s">
        <v>178</v>
      </c>
      <c r="C48" s="56">
        <v>100</v>
      </c>
      <c r="D48" s="57">
        <f>0.8/60*100</f>
        <v>1.33333333333333</v>
      </c>
      <c r="E48" s="58">
        <f>0.05/60*100</f>
        <v>0.0833333333333333</v>
      </c>
      <c r="F48" s="59">
        <f>0.85/60*100</f>
        <v>1.41666666666667</v>
      </c>
      <c r="G48" s="52">
        <f t="shared" si="7"/>
        <v>11.75</v>
      </c>
      <c r="H48" s="62" t="s">
        <v>65</v>
      </c>
      <c r="I48" s="8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</row>
    <row r="49" s="1" customFormat="1" customHeight="1" spans="1:58">
      <c r="A49" s="61"/>
      <c r="B49" s="55" t="s">
        <v>36</v>
      </c>
      <c r="C49" s="56" t="s">
        <v>37</v>
      </c>
      <c r="D49" s="57">
        <v>3.95</v>
      </c>
      <c r="E49" s="58">
        <v>0.5</v>
      </c>
      <c r="F49" s="59">
        <v>24.15</v>
      </c>
      <c r="G49" s="52">
        <f t="shared" si="7"/>
        <v>116.9</v>
      </c>
      <c r="H49" s="62" t="s">
        <v>23</v>
      </c>
      <c r="I49" s="8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</row>
    <row r="50" s="1" customFormat="1" customHeight="1" spans="1:58">
      <c r="A50" s="88"/>
      <c r="B50" s="89" t="s">
        <v>93</v>
      </c>
      <c r="C50" s="90">
        <v>200</v>
      </c>
      <c r="D50" s="91">
        <v>0.43</v>
      </c>
      <c r="E50" s="92">
        <v>0.02</v>
      </c>
      <c r="F50" s="93">
        <v>27.6</v>
      </c>
      <c r="G50" s="52">
        <f t="shared" si="7"/>
        <v>112.3</v>
      </c>
      <c r="H50" s="68" t="s">
        <v>117</v>
      </c>
      <c r="I50" s="8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</row>
    <row r="51" s="1" customFormat="1" customHeight="1" spans="1:58">
      <c r="A51" s="126" t="s">
        <v>25</v>
      </c>
      <c r="B51" s="70"/>
      <c r="C51" s="127">
        <f>SUM(C45:C50)+100</f>
        <v>680</v>
      </c>
      <c r="D51" s="72">
        <f>SUM(D45:D50)</f>
        <v>37.752</v>
      </c>
      <c r="E51" s="73">
        <f t="shared" ref="E51:G51" si="8">SUM(E45:E50)</f>
        <v>32.9577777777778</v>
      </c>
      <c r="F51" s="74">
        <f t="shared" si="8"/>
        <v>150.933333333333</v>
      </c>
      <c r="G51" s="75">
        <f t="shared" si="8"/>
        <v>1051.36133333333</v>
      </c>
      <c r="H51" s="76"/>
      <c r="I51" s="8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</row>
    <row r="52" s="1" customFormat="1" customHeight="1" spans="1:58">
      <c r="A52" s="128" t="s">
        <v>40</v>
      </c>
      <c r="B52" s="129"/>
      <c r="C52" s="130">
        <f>C51+C43</f>
        <v>1380</v>
      </c>
      <c r="D52" s="131">
        <f t="shared" ref="D52:G52" si="9">D51+D43</f>
        <v>68.162</v>
      </c>
      <c r="E52" s="131">
        <f t="shared" si="9"/>
        <v>61.6827777777778</v>
      </c>
      <c r="F52" s="132">
        <f t="shared" si="9"/>
        <v>206.662083333333</v>
      </c>
      <c r="G52" s="133">
        <f t="shared" si="9"/>
        <v>1654.44133333333</v>
      </c>
      <c r="H52" s="76"/>
      <c r="I52" s="8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  <c r="BD52" s="152"/>
      <c r="BE52" s="152"/>
      <c r="BF52" s="152"/>
    </row>
    <row r="53" s="1" customFormat="1" customHeight="1" spans="1:58">
      <c r="A53" s="100"/>
      <c r="B53" s="101"/>
      <c r="C53" s="106"/>
      <c r="D53" s="107"/>
      <c r="E53" s="107"/>
      <c r="F53" s="107"/>
      <c r="G53" s="107"/>
      <c r="H53" s="76"/>
      <c r="I53" s="8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</row>
    <row r="54" ht="17.25" customHeight="1" spans="1:17">
      <c r="A54" s="134"/>
      <c r="B54" s="135" t="s">
        <v>58</v>
      </c>
      <c r="C54" s="135"/>
      <c r="D54" s="135"/>
      <c r="E54" s="135"/>
      <c r="F54" s="135"/>
      <c r="G54" s="135"/>
      <c r="H54" s="76"/>
      <c r="I54" s="8"/>
      <c r="J54" s="7"/>
      <c r="K54" s="3"/>
      <c r="L54" s="3"/>
      <c r="M54" s="3"/>
      <c r="N54" s="3"/>
      <c r="O54" s="3"/>
      <c r="P54" s="3"/>
      <c r="Q54" s="3"/>
    </row>
    <row r="55" ht="17.25" customHeight="1" spans="1:17">
      <c r="A55" s="77" t="s">
        <v>13</v>
      </c>
      <c r="B55" s="136"/>
      <c r="C55" s="110"/>
      <c r="D55" s="111"/>
      <c r="E55" s="111"/>
      <c r="F55" s="111"/>
      <c r="G55" s="111"/>
      <c r="H55" s="76"/>
      <c r="I55" s="7"/>
      <c r="J55" s="154"/>
      <c r="K55" s="3"/>
      <c r="L55" s="3"/>
      <c r="M55" s="3"/>
      <c r="N55" s="3"/>
      <c r="O55" s="3"/>
      <c r="P55" s="3"/>
      <c r="Q55" s="3"/>
    </row>
    <row r="56" s="1" customFormat="1" customHeight="1" spans="1:58">
      <c r="A56" s="61"/>
      <c r="B56" s="55" t="s">
        <v>59</v>
      </c>
      <c r="C56" s="83">
        <v>100</v>
      </c>
      <c r="D56" s="84">
        <f>14.6/90*100</f>
        <v>16.2222222222222</v>
      </c>
      <c r="E56" s="85">
        <f>14.28/90*100</f>
        <v>15.8666666666667</v>
      </c>
      <c r="F56" s="86">
        <f>13.68/90*100</f>
        <v>15.2</v>
      </c>
      <c r="G56" s="52">
        <f t="shared" ref="G56:G62" si="10">(D56*4)+(E56*9)+(F56*4)</f>
        <v>268.488888888889</v>
      </c>
      <c r="H56" s="87" t="s">
        <v>60</v>
      </c>
      <c r="I56" s="154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</row>
    <row r="57" s="1" customFormat="1" customHeight="1" spans="1:58">
      <c r="A57" s="61"/>
      <c r="B57" s="55" t="s">
        <v>61</v>
      </c>
      <c r="C57" s="56">
        <v>30</v>
      </c>
      <c r="D57" s="57">
        <f>0.53</f>
        <v>0.53</v>
      </c>
      <c r="E57" s="58">
        <f>0.74</f>
        <v>0.74</v>
      </c>
      <c r="F57" s="59">
        <v>2.38</v>
      </c>
      <c r="G57" s="52">
        <f t="shared" si="10"/>
        <v>18.3</v>
      </c>
      <c r="H57" s="62" t="s">
        <v>62</v>
      </c>
      <c r="I57" s="154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52"/>
    </row>
    <row r="58" s="1" customFormat="1" customHeight="1" spans="1:58">
      <c r="A58" s="61"/>
      <c r="B58" s="55" t="s">
        <v>63</v>
      </c>
      <c r="C58" s="56">
        <v>200</v>
      </c>
      <c r="D58" s="57">
        <f>3.33/150*200</f>
        <v>4.44</v>
      </c>
      <c r="E58" s="58">
        <f>3.28/150*200</f>
        <v>4.37333333333333</v>
      </c>
      <c r="F58" s="59">
        <f>22.66/150*200</f>
        <v>30.2133333333333</v>
      </c>
      <c r="G58" s="52">
        <f t="shared" si="10"/>
        <v>177.973333333333</v>
      </c>
      <c r="H58" s="62" t="s">
        <v>64</v>
      </c>
      <c r="I58" s="154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</row>
    <row r="59" s="1" customFormat="1" customHeight="1" spans="1:58">
      <c r="A59" s="61"/>
      <c r="B59" s="55" t="s">
        <v>178</v>
      </c>
      <c r="C59" s="56">
        <v>100</v>
      </c>
      <c r="D59" s="57">
        <f>0.33/60*40</f>
        <v>0.22</v>
      </c>
      <c r="E59" s="58">
        <f>0.06/60*40</f>
        <v>0.04</v>
      </c>
      <c r="F59" s="59">
        <f>1.14/60*40</f>
        <v>0.76</v>
      </c>
      <c r="G59" s="52">
        <f t="shared" si="10"/>
        <v>4.28</v>
      </c>
      <c r="H59" s="62" t="s">
        <v>65</v>
      </c>
      <c r="I59" s="154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2"/>
      <c r="BF59" s="152"/>
    </row>
    <row r="60" s="1" customFormat="1" customHeight="1" spans="1:58">
      <c r="A60" s="61"/>
      <c r="B60" s="55" t="s">
        <v>22</v>
      </c>
      <c r="C60" s="56">
        <v>40</v>
      </c>
      <c r="D60" s="57">
        <f>3.04</f>
        <v>3.04</v>
      </c>
      <c r="E60" s="58">
        <v>0.36</v>
      </c>
      <c r="F60" s="59">
        <v>18.48</v>
      </c>
      <c r="G60" s="52">
        <f t="shared" si="10"/>
        <v>89.32</v>
      </c>
      <c r="H60" s="62" t="s">
        <v>23</v>
      </c>
      <c r="I60" s="8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2"/>
      <c r="AO60" s="152"/>
      <c r="AP60" s="152"/>
      <c r="AQ60" s="152"/>
      <c r="AR60" s="152"/>
      <c r="AS60" s="152"/>
      <c r="AT60" s="152"/>
      <c r="AU60" s="152"/>
      <c r="AV60" s="152"/>
      <c r="AW60" s="152"/>
      <c r="AX60" s="152"/>
      <c r="AY60" s="152"/>
      <c r="AZ60" s="152"/>
      <c r="BA60" s="152"/>
      <c r="BB60" s="152"/>
      <c r="BC60" s="152"/>
      <c r="BD60" s="152"/>
      <c r="BE60" s="152"/>
      <c r="BF60" s="152"/>
    </row>
    <row r="61" s="1" customFormat="1" customHeight="1" spans="1:58">
      <c r="A61" s="61"/>
      <c r="B61" s="137" t="s">
        <v>179</v>
      </c>
      <c r="C61" s="56" t="s">
        <v>180</v>
      </c>
      <c r="D61" s="138">
        <v>0.4</v>
      </c>
      <c r="E61" s="139">
        <v>0.04</v>
      </c>
      <c r="F61" s="140">
        <v>32</v>
      </c>
      <c r="G61" s="52">
        <f t="shared" si="10"/>
        <v>129.96</v>
      </c>
      <c r="H61" s="62" t="s">
        <v>23</v>
      </c>
      <c r="I61" s="8" t="s">
        <v>181</v>
      </c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152"/>
      <c r="AT61" s="152"/>
      <c r="AU61" s="152"/>
      <c r="AV61" s="152"/>
      <c r="AW61" s="152"/>
      <c r="AX61" s="152"/>
      <c r="AY61" s="152"/>
      <c r="AZ61" s="152"/>
      <c r="BA61" s="152"/>
      <c r="BB61" s="152"/>
      <c r="BC61" s="152"/>
      <c r="BD61" s="152"/>
      <c r="BE61" s="152"/>
      <c r="BF61" s="152"/>
    </row>
    <row r="62" s="1" customFormat="1" customHeight="1" spans="1:58">
      <c r="A62" s="88"/>
      <c r="B62" s="89" t="s">
        <v>68</v>
      </c>
      <c r="C62" s="90">
        <v>200</v>
      </c>
      <c r="D62" s="91">
        <f>0.06</f>
        <v>0.06</v>
      </c>
      <c r="E62" s="92">
        <v>0.01</v>
      </c>
      <c r="F62" s="93">
        <v>12.9</v>
      </c>
      <c r="G62" s="52">
        <f t="shared" si="10"/>
        <v>51.93</v>
      </c>
      <c r="H62" s="68" t="s">
        <v>69</v>
      </c>
      <c r="I62" s="8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  <c r="AX62" s="152"/>
      <c r="AY62" s="152"/>
      <c r="AZ62" s="152"/>
      <c r="BA62" s="152"/>
      <c r="BB62" s="152"/>
      <c r="BC62" s="152"/>
      <c r="BD62" s="152"/>
      <c r="BE62" s="152"/>
      <c r="BF62" s="152"/>
    </row>
    <row r="63" s="1" customFormat="1" customHeight="1" spans="1:58">
      <c r="A63" s="120" t="s">
        <v>25</v>
      </c>
      <c r="B63" s="141"/>
      <c r="C63" s="142">
        <f>SUM(C56:C62)+40+180+15+7</f>
        <v>912</v>
      </c>
      <c r="D63" s="143">
        <f>SUM(D56:D62)</f>
        <v>24.9122222222222</v>
      </c>
      <c r="E63" s="144">
        <f t="shared" ref="E63:G63" si="11">SUM(E56:E62)</f>
        <v>21.43</v>
      </c>
      <c r="F63" s="145">
        <f t="shared" si="11"/>
        <v>111.933333333333</v>
      </c>
      <c r="G63" s="146">
        <f t="shared" si="11"/>
        <v>740.252222222222</v>
      </c>
      <c r="H63" s="76"/>
      <c r="I63" s="8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</row>
    <row r="64" ht="17.25" customHeight="1" spans="1:17">
      <c r="A64" s="147" t="s">
        <v>26</v>
      </c>
      <c r="B64" s="124"/>
      <c r="C64" s="124"/>
      <c r="D64" s="79"/>
      <c r="E64" s="79"/>
      <c r="F64" s="80"/>
      <c r="G64" s="80"/>
      <c r="H64" s="76"/>
      <c r="I64" s="8"/>
      <c r="J64" s="153"/>
      <c r="K64" s="3"/>
      <c r="L64" s="3"/>
      <c r="M64" s="3"/>
      <c r="N64" s="3"/>
      <c r="O64" s="3"/>
      <c r="P64" s="3"/>
      <c r="Q64" s="3"/>
    </row>
    <row r="65" s="1" customFormat="1" customHeight="1" spans="1:58">
      <c r="A65" s="160"/>
      <c r="B65" s="161" t="s">
        <v>70</v>
      </c>
      <c r="C65" s="162" t="s">
        <v>175</v>
      </c>
      <c r="D65" s="84">
        <v>2.78</v>
      </c>
      <c r="E65" s="85">
        <v>3.26</v>
      </c>
      <c r="F65" s="86">
        <v>16.4</v>
      </c>
      <c r="G65" s="52">
        <f t="shared" ref="G65:G70" si="12">(D65*4)+(E65*9)+(F65*4)</f>
        <v>106.06</v>
      </c>
      <c r="H65" s="163" t="s">
        <v>71</v>
      </c>
      <c r="I65" s="8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</row>
    <row r="66" s="1" customFormat="1" customHeight="1" spans="1:58">
      <c r="A66" s="61"/>
      <c r="B66" s="55" t="s">
        <v>72</v>
      </c>
      <c r="C66" s="56">
        <v>100</v>
      </c>
      <c r="D66" s="57">
        <f>6.5/90*100</f>
        <v>7.22222222222222</v>
      </c>
      <c r="E66" s="58">
        <f>5.9/90*100</f>
        <v>6.55555555555556</v>
      </c>
      <c r="F66" s="59">
        <f>9.4/90*100</f>
        <v>10.4444444444444</v>
      </c>
      <c r="G66" s="52">
        <f t="shared" si="12"/>
        <v>129.666666666667</v>
      </c>
      <c r="H66" s="62" t="s">
        <v>73</v>
      </c>
      <c r="I66" s="8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2"/>
      <c r="BD66" s="152"/>
      <c r="BE66" s="152"/>
      <c r="BF66" s="152"/>
    </row>
    <row r="67" s="1" customFormat="1" ht="28.5" customHeight="1" spans="1:58">
      <c r="A67" s="61"/>
      <c r="B67" s="55" t="s">
        <v>182</v>
      </c>
      <c r="C67" s="56">
        <v>200</v>
      </c>
      <c r="D67" s="57">
        <f>5.8/150*200</f>
        <v>7.73333333333333</v>
      </c>
      <c r="E67" s="58">
        <f>4.36/150*200</f>
        <v>5.81333333333333</v>
      </c>
      <c r="F67" s="59">
        <f>27.25/150*200</f>
        <v>36.3333333333333</v>
      </c>
      <c r="G67" s="52">
        <f t="shared" si="12"/>
        <v>228.586666666667</v>
      </c>
      <c r="H67" s="62" t="s">
        <v>75</v>
      </c>
      <c r="I67" s="8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2"/>
      <c r="BF67" s="152"/>
    </row>
    <row r="68" s="1" customFormat="1" ht="35.25" customHeight="1" spans="1:58">
      <c r="A68" s="61"/>
      <c r="B68" s="55" t="s">
        <v>183</v>
      </c>
      <c r="C68" s="56">
        <v>100</v>
      </c>
      <c r="D68" s="57">
        <f>0.34/60*100</f>
        <v>0.566666666666667</v>
      </c>
      <c r="E68" s="58">
        <f>0.04/60*100</f>
        <v>0.0666666666666667</v>
      </c>
      <c r="F68" s="59">
        <f>0.68/60*100</f>
        <v>1.13333333333333</v>
      </c>
      <c r="G68" s="52">
        <f t="shared" si="12"/>
        <v>7.4</v>
      </c>
      <c r="H68" s="62" t="s">
        <v>65</v>
      </c>
      <c r="I68" s="153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  <c r="AX68" s="152"/>
      <c r="AY68" s="152"/>
      <c r="AZ68" s="152"/>
      <c r="BA68" s="152"/>
      <c r="BB68" s="152"/>
      <c r="BC68" s="152"/>
      <c r="BD68" s="152"/>
      <c r="BE68" s="152"/>
      <c r="BF68" s="152"/>
    </row>
    <row r="69" s="1" customFormat="1" customHeight="1" spans="1:58">
      <c r="A69" s="61"/>
      <c r="B69" s="55" t="s">
        <v>36</v>
      </c>
      <c r="C69" s="56" t="s">
        <v>37</v>
      </c>
      <c r="D69" s="57">
        <v>3.95</v>
      </c>
      <c r="E69" s="58">
        <v>0.5</v>
      </c>
      <c r="F69" s="59">
        <v>24.15</v>
      </c>
      <c r="G69" s="52">
        <f t="shared" si="12"/>
        <v>116.9</v>
      </c>
      <c r="H69" s="62" t="s">
        <v>23</v>
      </c>
      <c r="I69" s="8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152"/>
      <c r="AS69" s="152"/>
      <c r="AT69" s="152"/>
      <c r="AU69" s="152"/>
      <c r="AV69" s="152"/>
      <c r="AW69" s="152"/>
      <c r="AX69" s="152"/>
      <c r="AY69" s="152"/>
      <c r="AZ69" s="152"/>
      <c r="BA69" s="152"/>
      <c r="BB69" s="152"/>
      <c r="BC69" s="152"/>
      <c r="BD69" s="152"/>
      <c r="BE69" s="152"/>
      <c r="BF69" s="152"/>
    </row>
    <row r="70" s="1" customFormat="1" customHeight="1" spans="1:58">
      <c r="A70" s="88"/>
      <c r="B70" s="89" t="s">
        <v>184</v>
      </c>
      <c r="C70" s="90">
        <v>200</v>
      </c>
      <c r="D70" s="91">
        <v>0.14</v>
      </c>
      <c r="E70" s="92">
        <v>0.04</v>
      </c>
      <c r="F70" s="93">
        <v>27.3</v>
      </c>
      <c r="G70" s="52">
        <f t="shared" si="12"/>
        <v>110.12</v>
      </c>
      <c r="H70" s="68" t="s">
        <v>78</v>
      </c>
      <c r="I70" s="8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R70" s="152"/>
      <c r="AS70" s="152"/>
      <c r="AT70" s="152"/>
      <c r="AU70" s="152"/>
      <c r="AV70" s="152"/>
      <c r="AW70" s="152"/>
      <c r="AX70" s="152"/>
      <c r="AY70" s="152"/>
      <c r="AZ70" s="152"/>
      <c r="BA70" s="152"/>
      <c r="BB70" s="152"/>
      <c r="BC70" s="152"/>
      <c r="BD70" s="152"/>
      <c r="BE70" s="152"/>
      <c r="BF70" s="152"/>
    </row>
    <row r="71" s="1" customFormat="1" customHeight="1" spans="1:58">
      <c r="A71" s="69" t="s">
        <v>25</v>
      </c>
      <c r="B71" s="94"/>
      <c r="C71" s="164">
        <f>SUM(C65:C70)+275+100</f>
        <v>975</v>
      </c>
      <c r="D71" s="165">
        <f t="shared" ref="D71:G71" si="13">SUM(D65:D70)</f>
        <v>22.3922222222222</v>
      </c>
      <c r="E71" s="166">
        <f t="shared" si="13"/>
        <v>16.2355555555556</v>
      </c>
      <c r="F71" s="167">
        <f t="shared" si="13"/>
        <v>115.761111111111</v>
      </c>
      <c r="G71" s="168">
        <f t="shared" si="13"/>
        <v>698.733333333333</v>
      </c>
      <c r="H71" s="76"/>
      <c r="I71" s="8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2"/>
      <c r="AK71" s="152"/>
      <c r="AL71" s="152"/>
      <c r="AM71" s="152"/>
      <c r="AN71" s="152"/>
      <c r="AO71" s="152"/>
      <c r="AP71" s="152"/>
      <c r="AQ71" s="152"/>
      <c r="AR71" s="152"/>
      <c r="AS71" s="152"/>
      <c r="AT71" s="152"/>
      <c r="AU71" s="152"/>
      <c r="AV71" s="152"/>
      <c r="AW71" s="152"/>
      <c r="AX71" s="152"/>
      <c r="AY71" s="152"/>
      <c r="AZ71" s="152"/>
      <c r="BA71" s="152"/>
      <c r="BB71" s="152"/>
      <c r="BC71" s="152"/>
      <c r="BD71" s="152"/>
      <c r="BE71" s="152"/>
      <c r="BF71" s="152"/>
    </row>
    <row r="72" s="1" customFormat="1" customHeight="1" spans="1:58">
      <c r="A72" s="128" t="s">
        <v>40</v>
      </c>
      <c r="B72" s="129"/>
      <c r="C72" s="130">
        <f>C71+C63</f>
        <v>1887</v>
      </c>
      <c r="D72" s="131">
        <f t="shared" ref="D72:G72" si="14">D71+D63</f>
        <v>47.3044444444444</v>
      </c>
      <c r="E72" s="169">
        <f t="shared" si="14"/>
        <v>37.6655555555555</v>
      </c>
      <c r="F72" s="170">
        <f t="shared" si="14"/>
        <v>227.694444444444</v>
      </c>
      <c r="G72" s="133">
        <f t="shared" si="14"/>
        <v>1438.98555555556</v>
      </c>
      <c r="H72" s="76"/>
      <c r="I72" s="8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  <c r="BA72" s="152"/>
      <c r="BB72" s="152"/>
      <c r="BC72" s="152"/>
      <c r="BD72" s="152"/>
      <c r="BE72" s="152"/>
      <c r="BF72" s="152"/>
    </row>
    <row r="73" s="1" customFormat="1" customHeight="1" spans="1:58">
      <c r="A73" s="100"/>
      <c r="B73" s="101"/>
      <c r="C73" s="106"/>
      <c r="D73" s="171"/>
      <c r="E73" s="171"/>
      <c r="F73" s="171"/>
      <c r="G73" s="171"/>
      <c r="H73" s="76"/>
      <c r="I73" s="8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  <c r="AZ73" s="152"/>
      <c r="BA73" s="152"/>
      <c r="BB73" s="152"/>
      <c r="BC73" s="152"/>
      <c r="BD73" s="152"/>
      <c r="BE73" s="152"/>
      <c r="BF73" s="152"/>
    </row>
    <row r="74" ht="17.25" customHeight="1" spans="1:17">
      <c r="A74" s="134"/>
      <c r="B74" s="135" t="s">
        <v>79</v>
      </c>
      <c r="C74" s="135"/>
      <c r="D74" s="135"/>
      <c r="E74" s="135"/>
      <c r="F74" s="135"/>
      <c r="G74" s="135"/>
      <c r="H74" s="76"/>
      <c r="I74" s="8"/>
      <c r="J74" s="152"/>
      <c r="K74" s="3"/>
      <c r="L74" s="3"/>
      <c r="M74" s="3"/>
      <c r="N74" s="3"/>
      <c r="O74" s="3"/>
      <c r="P74" s="3"/>
      <c r="Q74" s="3"/>
    </row>
    <row r="75" ht="17.25" customHeight="1" spans="1:17">
      <c r="A75" s="172" t="s">
        <v>13</v>
      </c>
      <c r="B75" s="173"/>
      <c r="C75" s="110"/>
      <c r="D75" s="174"/>
      <c r="E75" s="174"/>
      <c r="F75" s="174"/>
      <c r="G75" s="174"/>
      <c r="H75" s="76"/>
      <c r="I75" s="8"/>
      <c r="J75" s="152"/>
      <c r="K75" s="3"/>
      <c r="L75" s="3"/>
      <c r="M75" s="3"/>
      <c r="N75" s="3"/>
      <c r="O75" s="3"/>
      <c r="P75" s="3"/>
      <c r="Q75" s="3"/>
    </row>
    <row r="76" s="1" customFormat="1" customHeight="1" spans="1:58">
      <c r="A76" s="175"/>
      <c r="B76" s="176" t="s">
        <v>80</v>
      </c>
      <c r="C76" s="83">
        <v>200</v>
      </c>
      <c r="D76" s="84">
        <f>19.33/160*200</f>
        <v>24.1625</v>
      </c>
      <c r="E76" s="85">
        <f>11.03/160*200</f>
        <v>13.7875</v>
      </c>
      <c r="F76" s="86">
        <f>25.26/160*200</f>
        <v>31.575</v>
      </c>
      <c r="G76" s="52">
        <f t="shared" ref="G76:G81" si="15">(D76*4)+(E76*9)+(F76*4)</f>
        <v>347.0375</v>
      </c>
      <c r="H76" s="53" t="s">
        <v>81</v>
      </c>
      <c r="I76" s="8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  <c r="AB76" s="152"/>
      <c r="AC76" s="152"/>
      <c r="AD76" s="152"/>
      <c r="AE76" s="152"/>
      <c r="AF76" s="152"/>
      <c r="AG76" s="152"/>
      <c r="AH76" s="152"/>
      <c r="AI76" s="152"/>
      <c r="AJ76" s="152"/>
      <c r="AK76" s="152"/>
      <c r="AL76" s="152"/>
      <c r="AM76" s="152"/>
      <c r="AN76" s="152"/>
      <c r="AO76" s="152"/>
      <c r="AP76" s="152"/>
      <c r="AQ76" s="152"/>
      <c r="AR76" s="152"/>
      <c r="AS76" s="152"/>
      <c r="AT76" s="152"/>
      <c r="AU76" s="152"/>
      <c r="AV76" s="152"/>
      <c r="AW76" s="152"/>
      <c r="AX76" s="152"/>
      <c r="AY76" s="152"/>
      <c r="AZ76" s="152"/>
      <c r="BA76" s="152"/>
      <c r="BB76" s="152"/>
      <c r="BC76" s="152"/>
      <c r="BD76" s="152"/>
      <c r="BE76" s="152"/>
      <c r="BF76" s="152"/>
    </row>
    <row r="77" s="1" customFormat="1" customHeight="1" spans="1:58">
      <c r="A77" s="54"/>
      <c r="B77" s="177" t="s">
        <v>82</v>
      </c>
      <c r="C77" s="56">
        <v>30</v>
      </c>
      <c r="D77" s="57">
        <f>0.39/15*30</f>
        <v>0.78</v>
      </c>
      <c r="E77" s="58">
        <f>2.25/15*30</f>
        <v>4.5</v>
      </c>
      <c r="F77" s="59">
        <f>0.54/15*30</f>
        <v>1.08</v>
      </c>
      <c r="G77" s="52">
        <f t="shared" si="15"/>
        <v>47.94</v>
      </c>
      <c r="H77" s="60" t="s">
        <v>83</v>
      </c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  <c r="AM77" s="152"/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2"/>
      <c r="BE77" s="152"/>
      <c r="BF77" s="152"/>
    </row>
    <row r="78" s="1" customFormat="1" customHeight="1" spans="1:58">
      <c r="A78" s="54"/>
      <c r="B78" s="177" t="s">
        <v>84</v>
      </c>
      <c r="C78" s="56">
        <v>200</v>
      </c>
      <c r="D78" s="57">
        <v>3.9</v>
      </c>
      <c r="E78" s="58">
        <f>3</f>
        <v>3</v>
      </c>
      <c r="F78" s="59">
        <f>17.28</f>
        <v>17.28</v>
      </c>
      <c r="G78" s="52">
        <f t="shared" si="15"/>
        <v>111.72</v>
      </c>
      <c r="H78" s="60" t="s">
        <v>85</v>
      </c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  <c r="AC78" s="152"/>
      <c r="AD78" s="152"/>
      <c r="AE78" s="152"/>
      <c r="AF78" s="152"/>
      <c r="AG78" s="152"/>
      <c r="AH78" s="152"/>
      <c r="AI78" s="152"/>
      <c r="AJ78" s="152"/>
      <c r="AK78" s="152"/>
      <c r="AL78" s="152"/>
      <c r="AM78" s="152"/>
      <c r="AN78" s="152"/>
      <c r="AO78" s="152"/>
      <c r="AP78" s="152"/>
      <c r="AQ78" s="152"/>
      <c r="AR78" s="152"/>
      <c r="AS78" s="152"/>
      <c r="AT78" s="152"/>
      <c r="AU78" s="152"/>
      <c r="AV78" s="152"/>
      <c r="AW78" s="152"/>
      <c r="AX78" s="152"/>
      <c r="AY78" s="152"/>
      <c r="AZ78" s="152"/>
      <c r="BA78" s="152"/>
      <c r="BB78" s="152"/>
      <c r="BC78" s="152"/>
      <c r="BD78" s="152"/>
      <c r="BE78" s="152"/>
      <c r="BF78" s="152"/>
    </row>
    <row r="79" s="1" customFormat="1" customHeight="1" spans="1:58">
      <c r="A79" s="54"/>
      <c r="B79" s="55" t="s">
        <v>18</v>
      </c>
      <c r="C79" s="56">
        <v>20</v>
      </c>
      <c r="D79" s="57">
        <v>4.09</v>
      </c>
      <c r="E79" s="58">
        <f>4.6</f>
        <v>4.6</v>
      </c>
      <c r="F79" s="59">
        <f>0.49</f>
        <v>0.49</v>
      </c>
      <c r="G79" s="52">
        <f t="shared" si="15"/>
        <v>59.72</v>
      </c>
      <c r="H79" s="60" t="s">
        <v>19</v>
      </c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2"/>
      <c r="AK79" s="152"/>
      <c r="AL79" s="152"/>
      <c r="AM79" s="152"/>
      <c r="AN79" s="152"/>
      <c r="AO79" s="152"/>
      <c r="AP79" s="152"/>
      <c r="AQ79" s="152"/>
      <c r="AR79" s="152"/>
      <c r="AS79" s="152"/>
      <c r="AT79" s="152"/>
      <c r="AU79" s="152"/>
      <c r="AV79" s="152"/>
      <c r="AW79" s="152"/>
      <c r="AX79" s="152"/>
      <c r="AY79" s="152"/>
      <c r="AZ79" s="152"/>
      <c r="BA79" s="152"/>
      <c r="BB79" s="152"/>
      <c r="BC79" s="152"/>
      <c r="BD79" s="152"/>
      <c r="BE79" s="152"/>
      <c r="BF79" s="152"/>
    </row>
    <row r="80" s="1" customFormat="1" customHeight="1" spans="1:58">
      <c r="A80" s="54"/>
      <c r="B80" s="177" t="s">
        <v>185</v>
      </c>
      <c r="C80" s="56">
        <v>150</v>
      </c>
      <c r="D80" s="57">
        <f>0.8/100*150</f>
        <v>1.2</v>
      </c>
      <c r="E80" s="58">
        <f>0.2/100*150</f>
        <v>0.3</v>
      </c>
      <c r="F80" s="59">
        <f>7.5/100*150</f>
        <v>11.25</v>
      </c>
      <c r="G80" s="52">
        <f t="shared" si="15"/>
        <v>52.5</v>
      </c>
      <c r="H80" s="60" t="s">
        <v>23</v>
      </c>
      <c r="I80" s="8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  <c r="AJ80" s="152"/>
      <c r="AK80" s="152"/>
      <c r="AL80" s="152"/>
      <c r="AM80" s="152"/>
      <c r="AN80" s="152"/>
      <c r="AO80" s="152"/>
      <c r="AP80" s="152"/>
      <c r="AQ80" s="152"/>
      <c r="AR80" s="152"/>
      <c r="AS80" s="152"/>
      <c r="AT80" s="152"/>
      <c r="AU80" s="152"/>
      <c r="AV80" s="152"/>
      <c r="AW80" s="152"/>
      <c r="AX80" s="152"/>
      <c r="AY80" s="152"/>
      <c r="AZ80" s="152"/>
      <c r="BA80" s="152"/>
      <c r="BB80" s="152"/>
      <c r="BC80" s="152"/>
      <c r="BD80" s="152"/>
      <c r="BE80" s="152"/>
      <c r="BF80" s="152"/>
    </row>
    <row r="81" s="1" customFormat="1" customHeight="1" spans="1:58">
      <c r="A81" s="54"/>
      <c r="B81" s="178" t="s">
        <v>22</v>
      </c>
      <c r="C81" s="90">
        <v>40</v>
      </c>
      <c r="D81" s="91">
        <v>3.04</v>
      </c>
      <c r="E81" s="92">
        <v>0.36</v>
      </c>
      <c r="F81" s="93">
        <v>18.48</v>
      </c>
      <c r="G81" s="52">
        <f t="shared" si="15"/>
        <v>89.32</v>
      </c>
      <c r="H81" s="179" t="s">
        <v>23</v>
      </c>
      <c r="I81" s="8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52"/>
      <c r="AJ81" s="152"/>
      <c r="AK81" s="152"/>
      <c r="AL81" s="152"/>
      <c r="AM81" s="152"/>
      <c r="AN81" s="152"/>
      <c r="AO81" s="152"/>
      <c r="AP81" s="152"/>
      <c r="AQ81" s="152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152"/>
      <c r="BD81" s="152"/>
      <c r="BE81" s="152"/>
      <c r="BF81" s="152"/>
    </row>
    <row r="82" s="1" customFormat="1" customHeight="1" spans="1:58">
      <c r="A82" s="120" t="s">
        <v>25</v>
      </c>
      <c r="B82" s="141"/>
      <c r="C82" s="48">
        <f>SUM(C76:C81)</f>
        <v>640</v>
      </c>
      <c r="D82" s="143">
        <f>SUM(D76:D81)</f>
        <v>37.1725</v>
      </c>
      <c r="E82" s="144">
        <f t="shared" ref="E82:G82" si="16">SUM(E76:E81)</f>
        <v>26.5475</v>
      </c>
      <c r="F82" s="145">
        <f t="shared" si="16"/>
        <v>80.155</v>
      </c>
      <c r="G82" s="146">
        <f t="shared" si="16"/>
        <v>708.2375</v>
      </c>
      <c r="H82" s="180"/>
      <c r="I82" s="8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  <c r="AG82" s="152"/>
      <c r="AH82" s="152"/>
      <c r="AI82" s="152"/>
      <c r="AJ82" s="152"/>
      <c r="AK82" s="152"/>
      <c r="AL82" s="152"/>
      <c r="AM82" s="152"/>
      <c r="AN82" s="152"/>
      <c r="AO82" s="152"/>
      <c r="AP82" s="152"/>
      <c r="AQ82" s="152"/>
      <c r="AR82" s="152"/>
      <c r="AS82" s="152"/>
      <c r="AT82" s="152"/>
      <c r="AU82" s="152"/>
      <c r="AV82" s="152"/>
      <c r="AW82" s="152"/>
      <c r="AX82" s="152"/>
      <c r="AY82" s="152"/>
      <c r="AZ82" s="152"/>
      <c r="BA82" s="152"/>
      <c r="BB82" s="152"/>
      <c r="BC82" s="152"/>
      <c r="BD82" s="152"/>
      <c r="BE82" s="152"/>
      <c r="BF82" s="152"/>
    </row>
    <row r="83" ht="17.25" customHeight="1" spans="1:17">
      <c r="A83" s="147" t="s">
        <v>26</v>
      </c>
      <c r="B83" s="124"/>
      <c r="C83" s="124"/>
      <c r="D83" s="79"/>
      <c r="E83" s="79"/>
      <c r="F83" s="80"/>
      <c r="G83" s="80"/>
      <c r="H83" s="76"/>
      <c r="I83" s="8"/>
      <c r="J83" s="153"/>
      <c r="K83" s="3"/>
      <c r="L83" s="3"/>
      <c r="M83" s="3"/>
      <c r="N83" s="3"/>
      <c r="O83" s="3"/>
      <c r="P83" s="3"/>
      <c r="Q83" s="3"/>
    </row>
    <row r="84" s="1" customFormat="1" customHeight="1" spans="1:58">
      <c r="A84" s="175"/>
      <c r="B84" s="82" t="s">
        <v>87</v>
      </c>
      <c r="C84" s="83">
        <v>250</v>
      </c>
      <c r="D84" s="84">
        <v>2.78</v>
      </c>
      <c r="E84" s="85">
        <v>3.26</v>
      </c>
      <c r="F84" s="86">
        <v>16.4</v>
      </c>
      <c r="G84" s="52">
        <f t="shared" ref="G84:G88" si="17">(D84*4)+(E84*9)+(F84*4)</f>
        <v>106.06</v>
      </c>
      <c r="H84" s="53" t="s">
        <v>88</v>
      </c>
      <c r="I84" s="8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  <c r="AA84" s="152"/>
      <c r="AB84" s="152"/>
      <c r="AC84" s="152"/>
      <c r="AD84" s="152"/>
      <c r="AE84" s="152"/>
      <c r="AF84" s="152"/>
      <c r="AG84" s="152"/>
      <c r="AH84" s="152"/>
      <c r="AI84" s="152"/>
      <c r="AJ84" s="152"/>
      <c r="AK84" s="152"/>
      <c r="AL84" s="152"/>
      <c r="AM84" s="152"/>
      <c r="AN84" s="152"/>
      <c r="AO84" s="152"/>
      <c r="AP84" s="152"/>
      <c r="AQ84" s="152"/>
      <c r="AR84" s="152"/>
      <c r="AS84" s="152"/>
      <c r="AT84" s="152"/>
      <c r="AU84" s="152"/>
      <c r="AV84" s="152"/>
      <c r="AW84" s="152"/>
      <c r="AX84" s="152"/>
      <c r="AY84" s="152"/>
      <c r="AZ84" s="152"/>
      <c r="BA84" s="152"/>
      <c r="BB84" s="152"/>
      <c r="BC84" s="152"/>
      <c r="BD84" s="152"/>
      <c r="BE84" s="152"/>
      <c r="BF84" s="152"/>
    </row>
    <row r="85" s="1" customFormat="1" customHeight="1" spans="1:58">
      <c r="A85" s="54"/>
      <c r="B85" s="55" t="s">
        <v>89</v>
      </c>
      <c r="C85" s="56">
        <v>250</v>
      </c>
      <c r="D85" s="57">
        <f>20.8/200*250</f>
        <v>26</v>
      </c>
      <c r="E85" s="58">
        <f>5.33/200*250</f>
        <v>6.6625</v>
      </c>
      <c r="F85" s="59">
        <f>18.5/200*250</f>
        <v>23.125</v>
      </c>
      <c r="G85" s="52">
        <f t="shared" si="17"/>
        <v>256.4625</v>
      </c>
      <c r="H85" s="60" t="s">
        <v>90</v>
      </c>
      <c r="I85" s="8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2"/>
      <c r="AJ85" s="152"/>
      <c r="AK85" s="152"/>
      <c r="AL85" s="152"/>
      <c r="AM85" s="152"/>
      <c r="AN85" s="152"/>
      <c r="AO85" s="152"/>
      <c r="AP85" s="152"/>
      <c r="AQ85" s="152"/>
      <c r="AR85" s="152"/>
      <c r="AS85" s="152"/>
      <c r="AT85" s="152"/>
      <c r="AU85" s="152"/>
      <c r="AV85" s="152"/>
      <c r="AW85" s="152"/>
      <c r="AX85" s="152"/>
      <c r="AY85" s="152"/>
      <c r="AZ85" s="152"/>
      <c r="BA85" s="152"/>
      <c r="BB85" s="152"/>
      <c r="BC85" s="152"/>
      <c r="BD85" s="152"/>
      <c r="BE85" s="152"/>
      <c r="BF85" s="152"/>
    </row>
    <row r="86" s="1" customFormat="1" customHeight="1" spans="1:58">
      <c r="A86" s="54"/>
      <c r="B86" s="55" t="s">
        <v>91</v>
      </c>
      <c r="C86" s="56">
        <v>100</v>
      </c>
      <c r="D86" s="57">
        <f>0.34/60*100</f>
        <v>0.566666666666667</v>
      </c>
      <c r="E86" s="58">
        <f>0.04/60*100</f>
        <v>0.0666666666666667</v>
      </c>
      <c r="F86" s="59">
        <f>0.68/60*100</f>
        <v>1.13333333333333</v>
      </c>
      <c r="G86" s="52">
        <f t="shared" si="17"/>
        <v>7.4</v>
      </c>
      <c r="H86" s="60" t="s">
        <v>92</v>
      </c>
      <c r="I86" s="8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2"/>
      <c r="AF86" s="152"/>
      <c r="AG86" s="152"/>
      <c r="AH86" s="152"/>
      <c r="AI86" s="152"/>
      <c r="AJ86" s="152"/>
      <c r="AK86" s="152"/>
      <c r="AL86" s="152"/>
      <c r="AM86" s="152"/>
      <c r="AN86" s="152"/>
      <c r="AO86" s="152"/>
      <c r="AP86" s="152"/>
      <c r="AQ86" s="152"/>
      <c r="AR86" s="152"/>
      <c r="AS86" s="152"/>
      <c r="AT86" s="152"/>
      <c r="AU86" s="152"/>
      <c r="AV86" s="152"/>
      <c r="AW86" s="152"/>
      <c r="AX86" s="152"/>
      <c r="AY86" s="152"/>
      <c r="AZ86" s="152"/>
      <c r="BA86" s="152"/>
      <c r="BB86" s="152"/>
      <c r="BC86" s="152"/>
      <c r="BD86" s="152"/>
      <c r="BE86" s="152"/>
      <c r="BF86" s="152"/>
    </row>
    <row r="87" s="1" customFormat="1" customHeight="1" spans="1:58">
      <c r="A87" s="54"/>
      <c r="B87" s="55" t="s">
        <v>36</v>
      </c>
      <c r="C87" s="56" t="s">
        <v>37</v>
      </c>
      <c r="D87" s="57">
        <v>2.37</v>
      </c>
      <c r="E87" s="58">
        <v>0.3</v>
      </c>
      <c r="F87" s="59">
        <v>14.5</v>
      </c>
      <c r="G87" s="52">
        <f t="shared" si="17"/>
        <v>70.18</v>
      </c>
      <c r="H87" s="60" t="s">
        <v>23</v>
      </c>
      <c r="I87" s="153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  <c r="AA87" s="152"/>
      <c r="AB87" s="152"/>
      <c r="AC87" s="152"/>
      <c r="AD87" s="152"/>
      <c r="AE87" s="152"/>
      <c r="AF87" s="152"/>
      <c r="AG87" s="152"/>
      <c r="AH87" s="152"/>
      <c r="AI87" s="152"/>
      <c r="AJ87" s="152"/>
      <c r="AK87" s="152"/>
      <c r="AL87" s="152"/>
      <c r="AM87" s="152"/>
      <c r="AN87" s="152"/>
      <c r="AO87" s="152"/>
      <c r="AP87" s="152"/>
      <c r="AQ87" s="152"/>
      <c r="AR87" s="152"/>
      <c r="AS87" s="152"/>
      <c r="AT87" s="152"/>
      <c r="AU87" s="152"/>
      <c r="AV87" s="152"/>
      <c r="AW87" s="152"/>
      <c r="AX87" s="152"/>
      <c r="AY87" s="152"/>
      <c r="AZ87" s="152"/>
      <c r="BA87" s="152"/>
      <c r="BB87" s="152"/>
      <c r="BC87" s="152"/>
      <c r="BD87" s="152"/>
      <c r="BE87" s="152"/>
      <c r="BF87" s="152"/>
    </row>
    <row r="88" s="1" customFormat="1" customHeight="1" spans="1:58">
      <c r="A88" s="181"/>
      <c r="B88" s="89" t="s">
        <v>93</v>
      </c>
      <c r="C88" s="90">
        <v>200</v>
      </c>
      <c r="D88" s="91">
        <v>0.43</v>
      </c>
      <c r="E88" s="92">
        <v>0.02</v>
      </c>
      <c r="F88" s="93">
        <v>27.6</v>
      </c>
      <c r="G88" s="52">
        <f t="shared" si="17"/>
        <v>112.3</v>
      </c>
      <c r="H88" s="179" t="s">
        <v>94</v>
      </c>
      <c r="I88" s="8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152"/>
      <c r="W88" s="152"/>
      <c r="X88" s="152"/>
      <c r="Y88" s="152"/>
      <c r="Z88" s="152"/>
      <c r="AA88" s="152"/>
      <c r="AB88" s="152"/>
      <c r="AC88" s="152"/>
      <c r="AD88" s="152"/>
      <c r="AE88" s="152"/>
      <c r="AF88" s="152"/>
      <c r="AG88" s="152"/>
      <c r="AH88" s="152"/>
      <c r="AI88" s="152"/>
      <c r="AJ88" s="152"/>
      <c r="AK88" s="152"/>
      <c r="AL88" s="152"/>
      <c r="AM88" s="152"/>
      <c r="AN88" s="152"/>
      <c r="AO88" s="152"/>
      <c r="AP88" s="152"/>
      <c r="AQ88" s="152"/>
      <c r="AR88" s="152"/>
      <c r="AS88" s="152"/>
      <c r="AT88" s="152"/>
      <c r="AU88" s="152"/>
      <c r="AV88" s="152"/>
      <c r="AW88" s="152"/>
      <c r="AX88" s="152"/>
      <c r="AY88" s="152"/>
      <c r="AZ88" s="152"/>
      <c r="BA88" s="152"/>
      <c r="BB88" s="152"/>
      <c r="BC88" s="152"/>
      <c r="BD88" s="152"/>
      <c r="BE88" s="152"/>
      <c r="BF88" s="152"/>
    </row>
    <row r="89" s="1" customFormat="1" customHeight="1" spans="1:58">
      <c r="A89" s="126" t="s">
        <v>25</v>
      </c>
      <c r="B89" s="70"/>
      <c r="C89" s="182">
        <f>SUM(C84:C88)+100</f>
        <v>900</v>
      </c>
      <c r="D89" s="72">
        <f>SUM(D84:D88)</f>
        <v>32.1466666666667</v>
      </c>
      <c r="E89" s="73">
        <f t="shared" ref="E89:G89" si="18">SUM(E84:E88)</f>
        <v>10.3091666666667</v>
      </c>
      <c r="F89" s="74">
        <f t="shared" si="18"/>
        <v>82.7583333333333</v>
      </c>
      <c r="G89" s="75">
        <f t="shared" si="18"/>
        <v>552.4025</v>
      </c>
      <c r="H89" s="76"/>
      <c r="I89" s="8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2"/>
      <c r="AF89" s="152"/>
      <c r="AG89" s="152"/>
      <c r="AH89" s="152"/>
      <c r="AI89" s="152"/>
      <c r="AJ89" s="152"/>
      <c r="AK89" s="152"/>
      <c r="AL89" s="152"/>
      <c r="AM89" s="152"/>
      <c r="AN89" s="152"/>
      <c r="AO89" s="152"/>
      <c r="AP89" s="152"/>
      <c r="AQ89" s="152"/>
      <c r="AR89" s="152"/>
      <c r="AS89" s="152"/>
      <c r="AT89" s="152"/>
      <c r="AU89" s="152"/>
      <c r="AV89" s="152"/>
      <c r="AW89" s="152"/>
      <c r="AX89" s="152"/>
      <c r="AY89" s="152"/>
      <c r="AZ89" s="152"/>
      <c r="BA89" s="152"/>
      <c r="BB89" s="152"/>
      <c r="BC89" s="152"/>
      <c r="BD89" s="152"/>
      <c r="BE89" s="152"/>
      <c r="BF89" s="152"/>
    </row>
    <row r="90" s="1" customFormat="1" customHeight="1" spans="1:58">
      <c r="A90" s="128" t="s">
        <v>40</v>
      </c>
      <c r="B90" s="129"/>
      <c r="C90" s="164">
        <f>C89+C82</f>
        <v>1540</v>
      </c>
      <c r="D90" s="96">
        <f t="shared" ref="D90:G90" si="19">D89+D82</f>
        <v>69.3191666666667</v>
      </c>
      <c r="E90" s="97">
        <f t="shared" si="19"/>
        <v>36.8566666666667</v>
      </c>
      <c r="F90" s="98">
        <f t="shared" si="19"/>
        <v>162.913333333333</v>
      </c>
      <c r="G90" s="99">
        <f t="shared" si="19"/>
        <v>1260.64</v>
      </c>
      <c r="H90" s="81"/>
      <c r="I90" s="8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  <c r="AC90" s="152"/>
      <c r="AD90" s="152"/>
      <c r="AE90" s="152"/>
      <c r="AF90" s="152"/>
      <c r="AG90" s="152"/>
      <c r="AH90" s="152"/>
      <c r="AI90" s="152"/>
      <c r="AJ90" s="152"/>
      <c r="AK90" s="152"/>
      <c r="AL90" s="152"/>
      <c r="AM90" s="152"/>
      <c r="AN90" s="152"/>
      <c r="AO90" s="152"/>
      <c r="AP90" s="152"/>
      <c r="AQ90" s="152"/>
      <c r="AR90" s="152"/>
      <c r="AS90" s="152"/>
      <c r="AT90" s="152"/>
      <c r="AU90" s="152"/>
      <c r="AV90" s="152"/>
      <c r="AW90" s="152"/>
      <c r="AX90" s="152"/>
      <c r="AY90" s="152"/>
      <c r="AZ90" s="152"/>
      <c r="BA90" s="152"/>
      <c r="BB90" s="152"/>
      <c r="BC90" s="152"/>
      <c r="BD90" s="152"/>
      <c r="BE90" s="152"/>
      <c r="BF90" s="152"/>
    </row>
    <row r="91" s="1" customFormat="1" customHeight="1" spans="1:58">
      <c r="A91" s="100"/>
      <c r="B91" s="101"/>
      <c r="C91" s="106"/>
      <c r="D91" s="171"/>
      <c r="E91" s="171"/>
      <c r="F91" s="171"/>
      <c r="G91" s="171"/>
      <c r="H91" s="76"/>
      <c r="I91" s="8" t="s">
        <v>186</v>
      </c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52"/>
      <c r="Z91" s="152"/>
      <c r="AA91" s="152"/>
      <c r="AB91" s="152"/>
      <c r="AC91" s="152"/>
      <c r="AD91" s="152"/>
      <c r="AE91" s="152"/>
      <c r="AF91" s="152"/>
      <c r="AG91" s="152"/>
      <c r="AH91" s="152"/>
      <c r="AI91" s="152"/>
      <c r="AJ91" s="152"/>
      <c r="AK91" s="152"/>
      <c r="AL91" s="152"/>
      <c r="AM91" s="152"/>
      <c r="AN91" s="152"/>
      <c r="AO91" s="152"/>
      <c r="AP91" s="152"/>
      <c r="AQ91" s="152"/>
      <c r="AR91" s="152"/>
      <c r="AS91" s="152"/>
      <c r="AT91" s="152"/>
      <c r="AU91" s="152"/>
      <c r="AV91" s="152"/>
      <c r="AW91" s="152"/>
      <c r="AX91" s="152"/>
      <c r="AY91" s="152"/>
      <c r="AZ91" s="152"/>
      <c r="BA91" s="152"/>
      <c r="BB91" s="152"/>
      <c r="BC91" s="152"/>
      <c r="BD91" s="152"/>
      <c r="BE91" s="152"/>
      <c r="BF91" s="152"/>
    </row>
    <row r="92" ht="17.25" customHeight="1" spans="1:17">
      <c r="A92" s="134"/>
      <c r="B92" s="109" t="s">
        <v>95</v>
      </c>
      <c r="C92" s="109"/>
      <c r="D92" s="109"/>
      <c r="E92" s="109"/>
      <c r="F92" s="109"/>
      <c r="G92" s="109"/>
      <c r="H92" s="76"/>
      <c r="I92" s="8"/>
      <c r="J92" s="7"/>
      <c r="K92" s="3"/>
      <c r="L92" s="3"/>
      <c r="M92" s="3"/>
      <c r="N92" s="3"/>
      <c r="O92" s="3"/>
      <c r="P92" s="3"/>
      <c r="Q92" s="3"/>
    </row>
    <row r="93" ht="17.25" customHeight="1" spans="1:17">
      <c r="A93" s="183" t="s">
        <v>13</v>
      </c>
      <c r="B93" s="184"/>
      <c r="C93" s="110"/>
      <c r="D93" s="174"/>
      <c r="E93" s="174"/>
      <c r="F93" s="174"/>
      <c r="G93" s="174"/>
      <c r="H93" s="76"/>
      <c r="I93" s="8"/>
      <c r="J93" s="7"/>
      <c r="K93" s="3"/>
      <c r="L93" s="3"/>
      <c r="M93" s="3"/>
      <c r="N93" s="3"/>
      <c r="O93" s="3"/>
      <c r="P93" s="3"/>
      <c r="Q93" s="3"/>
    </row>
    <row r="94" s="1" customFormat="1" customHeight="1" spans="1:58">
      <c r="A94" s="185"/>
      <c r="B94" s="177" t="s">
        <v>187</v>
      </c>
      <c r="C94" s="83">
        <v>100</v>
      </c>
      <c r="D94" s="84">
        <f>17.02/90*100</f>
        <v>18.9111111111111</v>
      </c>
      <c r="E94" s="85">
        <f>18.74/90*100</f>
        <v>20.8222222222222</v>
      </c>
      <c r="F94" s="86">
        <f>2.41/90*100</f>
        <v>2.67777777777778</v>
      </c>
      <c r="G94" s="52">
        <f t="shared" ref="G94:G99" si="20">(D94*4)+(E94*9)+(F94*4)</f>
        <v>273.755555555556</v>
      </c>
      <c r="H94" s="186" t="s">
        <v>97</v>
      </c>
      <c r="I94" s="8"/>
      <c r="J94" s="152"/>
      <c r="K94" s="152"/>
      <c r="L94" s="152"/>
      <c r="M94" s="152"/>
      <c r="N94" s="152"/>
      <c r="O94" s="152"/>
      <c r="P94" s="152"/>
      <c r="Q94" s="152"/>
      <c r="R94" s="152"/>
      <c r="S94" s="152"/>
      <c r="T94" s="152"/>
      <c r="U94" s="152"/>
      <c r="V94" s="152"/>
      <c r="W94" s="152"/>
      <c r="X94" s="152"/>
      <c r="Y94" s="152"/>
      <c r="Z94" s="152"/>
      <c r="AA94" s="152"/>
      <c r="AB94" s="152"/>
      <c r="AC94" s="152"/>
      <c r="AD94" s="152"/>
      <c r="AE94" s="152"/>
      <c r="AF94" s="152"/>
      <c r="AG94" s="152"/>
      <c r="AH94" s="152"/>
      <c r="AI94" s="152"/>
      <c r="AJ94" s="152"/>
      <c r="AK94" s="152"/>
      <c r="AL94" s="152"/>
      <c r="AM94" s="152"/>
      <c r="AN94" s="152"/>
      <c r="AO94" s="152"/>
      <c r="AP94" s="152"/>
      <c r="AQ94" s="152"/>
      <c r="AR94" s="152"/>
      <c r="AS94" s="152"/>
      <c r="AT94" s="152"/>
      <c r="AU94" s="152"/>
      <c r="AV94" s="152"/>
      <c r="AW94" s="152"/>
      <c r="AX94" s="152"/>
      <c r="AY94" s="152"/>
      <c r="AZ94" s="152"/>
      <c r="BA94" s="152"/>
      <c r="BB94" s="152"/>
      <c r="BC94" s="152"/>
      <c r="BD94" s="152"/>
      <c r="BE94" s="152"/>
      <c r="BF94" s="152"/>
    </row>
    <row r="95" s="1" customFormat="1" customHeight="1" spans="1:58">
      <c r="A95" s="115"/>
      <c r="B95" s="177" t="s">
        <v>188</v>
      </c>
      <c r="C95" s="56">
        <v>100</v>
      </c>
      <c r="D95" s="57">
        <f>0.1/60*100</f>
        <v>0.166666666666667</v>
      </c>
      <c r="E95" s="58">
        <f>0.03/60*100</f>
        <v>0.05</v>
      </c>
      <c r="F95" s="59">
        <f>1.1/60*100</f>
        <v>1.83333333333333</v>
      </c>
      <c r="G95" s="52">
        <f t="shared" si="20"/>
        <v>8.45</v>
      </c>
      <c r="H95" s="187" t="s">
        <v>65</v>
      </c>
      <c r="I95" s="8"/>
      <c r="J95" s="152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52"/>
      <c r="Z95" s="152"/>
      <c r="AA95" s="152"/>
      <c r="AB95" s="152"/>
      <c r="AC95" s="152"/>
      <c r="AD95" s="152"/>
      <c r="AE95" s="152"/>
      <c r="AF95" s="152"/>
      <c r="AG95" s="152"/>
      <c r="AH95" s="152"/>
      <c r="AI95" s="152"/>
      <c r="AJ95" s="152"/>
      <c r="AK95" s="152"/>
      <c r="AL95" s="152"/>
      <c r="AM95" s="152"/>
      <c r="AN95" s="152"/>
      <c r="AO95" s="152"/>
      <c r="AP95" s="152"/>
      <c r="AQ95" s="152"/>
      <c r="AR95" s="152"/>
      <c r="AS95" s="152"/>
      <c r="AT95" s="152"/>
      <c r="AU95" s="152"/>
      <c r="AV95" s="152"/>
      <c r="AW95" s="152"/>
      <c r="AX95" s="152"/>
      <c r="AY95" s="152"/>
      <c r="AZ95" s="152"/>
      <c r="BA95" s="152"/>
      <c r="BB95" s="152"/>
      <c r="BC95" s="152"/>
      <c r="BD95" s="152"/>
      <c r="BE95" s="152"/>
      <c r="BF95" s="152"/>
    </row>
    <row r="96" s="1" customFormat="1" customHeight="1" spans="1:58">
      <c r="A96" s="115"/>
      <c r="B96" s="177" t="s">
        <v>98</v>
      </c>
      <c r="C96" s="56">
        <v>200</v>
      </c>
      <c r="D96" s="188">
        <v>4.5</v>
      </c>
      <c r="E96" s="189">
        <v>5.1</v>
      </c>
      <c r="F96" s="190">
        <v>21.9</v>
      </c>
      <c r="G96" s="52">
        <f t="shared" si="20"/>
        <v>151.5</v>
      </c>
      <c r="H96" s="187" t="s">
        <v>99</v>
      </c>
      <c r="I96" s="7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  <c r="AA96" s="152"/>
      <c r="AB96" s="152"/>
      <c r="AC96" s="152"/>
      <c r="AD96" s="152"/>
      <c r="AE96" s="152"/>
      <c r="AF96" s="152"/>
      <c r="AG96" s="152"/>
      <c r="AH96" s="152"/>
      <c r="AI96" s="152"/>
      <c r="AJ96" s="152"/>
      <c r="AK96" s="152"/>
      <c r="AL96" s="152"/>
      <c r="AM96" s="152"/>
      <c r="AN96" s="152"/>
      <c r="AO96" s="152"/>
      <c r="AP96" s="152"/>
      <c r="AQ96" s="152"/>
      <c r="AR96" s="152"/>
      <c r="AS96" s="152"/>
      <c r="AT96" s="152"/>
      <c r="AU96" s="152"/>
      <c r="AV96" s="152"/>
      <c r="AW96" s="152"/>
      <c r="AX96" s="152"/>
      <c r="AY96" s="152"/>
      <c r="AZ96" s="152"/>
      <c r="BA96" s="152"/>
      <c r="BB96" s="152"/>
      <c r="BC96" s="152"/>
      <c r="BD96" s="152"/>
      <c r="BE96" s="152"/>
      <c r="BF96" s="152"/>
    </row>
    <row r="97" s="1" customFormat="1" customHeight="1" spans="1:58">
      <c r="A97" s="115"/>
      <c r="B97" s="177" t="s">
        <v>68</v>
      </c>
      <c r="C97" s="56">
        <v>200</v>
      </c>
      <c r="D97" s="57">
        <f>0.06</f>
        <v>0.06</v>
      </c>
      <c r="E97" s="58">
        <f>0.01</f>
        <v>0.01</v>
      </c>
      <c r="F97" s="59">
        <f>12.19</f>
        <v>12.19</v>
      </c>
      <c r="G97" s="52">
        <f t="shared" si="20"/>
        <v>49.09</v>
      </c>
      <c r="H97" s="187" t="s">
        <v>100</v>
      </c>
      <c r="I97" s="7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52"/>
      <c r="AM97" s="152"/>
      <c r="AN97" s="152"/>
      <c r="AO97" s="152"/>
      <c r="AP97" s="152"/>
      <c r="AQ97" s="152"/>
      <c r="AR97" s="152"/>
      <c r="AS97" s="152"/>
      <c r="AT97" s="152"/>
      <c r="AU97" s="152"/>
      <c r="AV97" s="152"/>
      <c r="AW97" s="152"/>
      <c r="AX97" s="152"/>
      <c r="AY97" s="152"/>
      <c r="AZ97" s="152"/>
      <c r="BA97" s="152"/>
      <c r="BB97" s="152"/>
      <c r="BC97" s="152"/>
      <c r="BD97" s="152"/>
      <c r="BE97" s="152"/>
      <c r="BF97" s="152"/>
    </row>
    <row r="98" s="1" customFormat="1" customHeight="1" spans="1:58">
      <c r="A98" s="115"/>
      <c r="B98" s="177" t="s">
        <v>22</v>
      </c>
      <c r="C98" s="191">
        <v>50</v>
      </c>
      <c r="D98" s="57">
        <f>1.58/40*50</f>
        <v>1.975</v>
      </c>
      <c r="E98" s="58">
        <f>0.2/40*50</f>
        <v>0.25</v>
      </c>
      <c r="F98" s="59">
        <f>9.66/40*50</f>
        <v>12.075</v>
      </c>
      <c r="G98" s="52">
        <f t="shared" si="20"/>
        <v>58.45</v>
      </c>
      <c r="H98" s="187" t="s">
        <v>23</v>
      </c>
      <c r="I98" s="8"/>
      <c r="J98" s="152"/>
      <c r="K98" s="152"/>
      <c r="L98" s="152"/>
      <c r="M98" s="152"/>
      <c r="N98" s="152"/>
      <c r="O98" s="152"/>
      <c r="P98" s="152"/>
      <c r="Q98" s="152"/>
      <c r="R98" s="152"/>
      <c r="S98" s="152"/>
      <c r="T98" s="152"/>
      <c r="U98" s="152"/>
      <c r="V98" s="152"/>
      <c r="W98" s="152"/>
      <c r="X98" s="152"/>
      <c r="Y98" s="152"/>
      <c r="Z98" s="152"/>
      <c r="AA98" s="152"/>
      <c r="AB98" s="152"/>
      <c r="AC98" s="152"/>
      <c r="AD98" s="152"/>
      <c r="AE98" s="152"/>
      <c r="AF98" s="152"/>
      <c r="AG98" s="152"/>
      <c r="AH98" s="152"/>
      <c r="AI98" s="152"/>
      <c r="AJ98" s="152"/>
      <c r="AK98" s="152"/>
      <c r="AL98" s="152"/>
      <c r="AM98" s="152"/>
      <c r="AN98" s="152"/>
      <c r="AO98" s="152"/>
      <c r="AP98" s="152"/>
      <c r="AQ98" s="152"/>
      <c r="AR98" s="152"/>
      <c r="AS98" s="152"/>
      <c r="AT98" s="152"/>
      <c r="AU98" s="152"/>
      <c r="AV98" s="152"/>
      <c r="AW98" s="152"/>
      <c r="AX98" s="152"/>
      <c r="AY98" s="152"/>
      <c r="AZ98" s="152"/>
      <c r="BA98" s="152"/>
      <c r="BB98" s="152"/>
      <c r="BC98" s="152"/>
      <c r="BD98" s="152"/>
      <c r="BE98" s="152"/>
      <c r="BF98" s="152"/>
    </row>
    <row r="99" s="1" customFormat="1" customHeight="1" spans="1:58">
      <c r="A99" s="192"/>
      <c r="B99" s="193" t="s">
        <v>189</v>
      </c>
      <c r="C99" s="194">
        <v>100</v>
      </c>
      <c r="D99" s="91">
        <f>5.45/50*100</f>
        <v>10.9</v>
      </c>
      <c r="E99" s="92">
        <f>5.73/50*100</f>
        <v>11.46</v>
      </c>
      <c r="F99" s="93">
        <f>32.28/50*100</f>
        <v>64.56</v>
      </c>
      <c r="G99" s="52">
        <f t="shared" si="20"/>
        <v>404.98</v>
      </c>
      <c r="H99" s="195" t="s">
        <v>102</v>
      </c>
      <c r="I99" s="8"/>
      <c r="J99" s="152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  <c r="AG99" s="152"/>
      <c r="AH99" s="152"/>
      <c r="AI99" s="152"/>
      <c r="AJ99" s="152"/>
      <c r="AK99" s="152"/>
      <c r="AL99" s="152"/>
      <c r="AM99" s="152"/>
      <c r="AN99" s="152"/>
      <c r="AO99" s="152"/>
      <c r="AP99" s="152"/>
      <c r="AQ99" s="152"/>
      <c r="AR99" s="152"/>
      <c r="AS99" s="152"/>
      <c r="AT99" s="152"/>
      <c r="AU99" s="152"/>
      <c r="AV99" s="152"/>
      <c r="AW99" s="152"/>
      <c r="AX99" s="152"/>
      <c r="AY99" s="152"/>
      <c r="AZ99" s="152"/>
      <c r="BA99" s="152"/>
      <c r="BB99" s="152"/>
      <c r="BC99" s="152"/>
      <c r="BD99" s="152"/>
      <c r="BE99" s="152"/>
      <c r="BF99" s="152"/>
    </row>
    <row r="100" s="1" customFormat="1" customHeight="1" spans="1:58">
      <c r="A100" s="120" t="s">
        <v>25</v>
      </c>
      <c r="B100" s="141"/>
      <c r="C100" s="48">
        <f>SUM(C94:C99)+180+15+7</f>
        <v>952</v>
      </c>
      <c r="D100" s="143">
        <f>SUM(D94:D99)</f>
        <v>36.5127777777778</v>
      </c>
      <c r="E100" s="144">
        <f t="shared" ref="E100:G100" si="21">SUM(E94:E99)</f>
        <v>37.6922222222222</v>
      </c>
      <c r="F100" s="145">
        <f t="shared" si="21"/>
        <v>115.236111111111</v>
      </c>
      <c r="G100" s="146">
        <f t="shared" si="21"/>
        <v>946.225555555556</v>
      </c>
      <c r="H100" s="41"/>
      <c r="I100" s="8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52"/>
      <c r="Y100" s="152"/>
      <c r="Z100" s="152"/>
      <c r="AA100" s="152"/>
      <c r="AB100" s="152"/>
      <c r="AC100" s="152"/>
      <c r="AD100" s="152"/>
      <c r="AE100" s="152"/>
      <c r="AF100" s="152"/>
      <c r="AG100" s="152"/>
      <c r="AH100" s="152"/>
      <c r="AI100" s="152"/>
      <c r="AJ100" s="152"/>
      <c r="AK100" s="152"/>
      <c r="AL100" s="152"/>
      <c r="AM100" s="152"/>
      <c r="AN100" s="152"/>
      <c r="AO100" s="152"/>
      <c r="AP100" s="152"/>
      <c r="AQ100" s="152"/>
      <c r="AR100" s="152"/>
      <c r="AS100" s="152"/>
      <c r="AT100" s="152"/>
      <c r="AU100" s="152"/>
      <c r="AV100" s="152"/>
      <c r="AW100" s="152"/>
      <c r="AX100" s="152"/>
      <c r="AY100" s="152"/>
      <c r="AZ100" s="152"/>
      <c r="BA100" s="152"/>
      <c r="BB100" s="152"/>
      <c r="BC100" s="152"/>
      <c r="BD100" s="152"/>
      <c r="BE100" s="152"/>
      <c r="BF100" s="152"/>
    </row>
    <row r="101" ht="17.25" customHeight="1" spans="1:17">
      <c r="A101" s="147" t="s">
        <v>26</v>
      </c>
      <c r="B101" s="124"/>
      <c r="C101" s="124"/>
      <c r="D101" s="79"/>
      <c r="E101" s="79"/>
      <c r="F101" s="80"/>
      <c r="G101" s="80"/>
      <c r="H101" s="76"/>
      <c r="I101" s="8"/>
      <c r="J101" s="153"/>
      <c r="K101" s="3"/>
      <c r="L101" s="3"/>
      <c r="M101" s="3"/>
      <c r="N101" s="3"/>
      <c r="O101" s="3"/>
      <c r="P101" s="3"/>
      <c r="Q101" s="3"/>
    </row>
    <row r="102" s="1" customFormat="1" customHeight="1" spans="1:58">
      <c r="A102" s="196"/>
      <c r="B102" s="82" t="s">
        <v>103</v>
      </c>
      <c r="C102" s="83">
        <v>250</v>
      </c>
      <c r="D102" s="84">
        <v>4.82</v>
      </c>
      <c r="E102" s="85">
        <v>4.9</v>
      </c>
      <c r="F102" s="86">
        <v>12.72</v>
      </c>
      <c r="G102" s="52">
        <f t="shared" ref="G102:G107" si="22">(D102*4)+(E102*9)+(F102*4)</f>
        <v>114.26</v>
      </c>
      <c r="H102" s="197" t="s">
        <v>104</v>
      </c>
      <c r="I102" s="8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52"/>
      <c r="Z102" s="152"/>
      <c r="AA102" s="152"/>
      <c r="AB102" s="152"/>
      <c r="AC102" s="152"/>
      <c r="AD102" s="152"/>
      <c r="AE102" s="152"/>
      <c r="AF102" s="152"/>
      <c r="AG102" s="152"/>
      <c r="AH102" s="152"/>
      <c r="AI102" s="152"/>
      <c r="AJ102" s="152"/>
      <c r="AK102" s="152"/>
      <c r="AL102" s="152"/>
      <c r="AM102" s="152"/>
      <c r="AN102" s="152"/>
      <c r="AO102" s="152"/>
      <c r="AP102" s="152"/>
      <c r="AQ102" s="152"/>
      <c r="AR102" s="152"/>
      <c r="AS102" s="152"/>
      <c r="AT102" s="152"/>
      <c r="AU102" s="152"/>
      <c r="AV102" s="152"/>
      <c r="AW102" s="152"/>
      <c r="AX102" s="152"/>
      <c r="AY102" s="152"/>
      <c r="AZ102" s="152"/>
      <c r="BA102" s="152"/>
      <c r="BB102" s="152"/>
      <c r="BC102" s="152"/>
      <c r="BD102" s="152"/>
      <c r="BE102" s="152"/>
      <c r="BF102" s="152"/>
    </row>
    <row r="103" s="1" customFormat="1" customHeight="1" spans="1:58">
      <c r="A103" s="198"/>
      <c r="B103" s="55" t="s">
        <v>105</v>
      </c>
      <c r="C103" s="56">
        <v>110</v>
      </c>
      <c r="D103" s="57">
        <f>7.66/90*110</f>
        <v>9.36222222222222</v>
      </c>
      <c r="E103" s="58">
        <f>3.85/90*110</f>
        <v>4.70555555555556</v>
      </c>
      <c r="F103" s="59">
        <f>2.2/90*110</f>
        <v>2.68888888888889</v>
      </c>
      <c r="G103" s="52">
        <f t="shared" si="22"/>
        <v>90.5544444444444</v>
      </c>
      <c r="H103" s="199" t="s">
        <v>106</v>
      </c>
      <c r="I103" s="8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2"/>
      <c r="AA103" s="152"/>
      <c r="AB103" s="152"/>
      <c r="AC103" s="152"/>
      <c r="AD103" s="152"/>
      <c r="AE103" s="152"/>
      <c r="AF103" s="152"/>
      <c r="AG103" s="152"/>
      <c r="AH103" s="152"/>
      <c r="AI103" s="152"/>
      <c r="AJ103" s="152"/>
      <c r="AK103" s="152"/>
      <c r="AL103" s="152"/>
      <c r="AM103" s="152"/>
      <c r="AN103" s="152"/>
      <c r="AO103" s="152"/>
      <c r="AP103" s="152"/>
      <c r="AQ103" s="152"/>
      <c r="AR103" s="152"/>
      <c r="AS103" s="152"/>
      <c r="AT103" s="152"/>
      <c r="AU103" s="152"/>
      <c r="AV103" s="152"/>
      <c r="AW103" s="152"/>
      <c r="AX103" s="152"/>
      <c r="AY103" s="152"/>
      <c r="AZ103" s="152"/>
      <c r="BA103" s="152"/>
      <c r="BB103" s="152"/>
      <c r="BC103" s="152"/>
      <c r="BD103" s="152"/>
      <c r="BE103" s="152"/>
      <c r="BF103" s="152"/>
    </row>
    <row r="104" s="1" customFormat="1" customHeight="1" spans="1:58">
      <c r="A104" s="115"/>
      <c r="B104" s="55" t="s">
        <v>190</v>
      </c>
      <c r="C104" s="56">
        <v>200</v>
      </c>
      <c r="D104" s="57">
        <f>3.06/150*200</f>
        <v>4.08</v>
      </c>
      <c r="E104" s="58">
        <f>4.8/150*200</f>
        <v>6.4</v>
      </c>
      <c r="F104" s="59">
        <f>20.4/150*200</f>
        <v>27.2</v>
      </c>
      <c r="G104" s="52">
        <f t="shared" si="22"/>
        <v>182.72</v>
      </c>
      <c r="H104" s="62" t="s">
        <v>64</v>
      </c>
      <c r="I104" s="8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X104" s="152"/>
      <c r="Y104" s="152"/>
      <c r="Z104" s="152"/>
      <c r="AA104" s="152"/>
      <c r="AB104" s="152"/>
      <c r="AC104" s="152"/>
      <c r="AD104" s="152"/>
      <c r="AE104" s="152"/>
      <c r="AF104" s="152"/>
      <c r="AG104" s="152"/>
      <c r="AH104" s="152"/>
      <c r="AI104" s="152"/>
      <c r="AJ104" s="152"/>
      <c r="AK104" s="152"/>
      <c r="AL104" s="152"/>
      <c r="AM104" s="152"/>
      <c r="AN104" s="152"/>
      <c r="AO104" s="152"/>
      <c r="AP104" s="152"/>
      <c r="AQ104" s="152"/>
      <c r="AR104" s="152"/>
      <c r="AS104" s="152"/>
      <c r="AT104" s="152"/>
      <c r="AU104" s="152"/>
      <c r="AV104" s="152"/>
      <c r="AW104" s="152"/>
      <c r="AX104" s="152"/>
      <c r="AY104" s="152"/>
      <c r="AZ104" s="152"/>
      <c r="BA104" s="152"/>
      <c r="BB104" s="152"/>
      <c r="BC104" s="152"/>
      <c r="BD104" s="152"/>
      <c r="BE104" s="152"/>
      <c r="BF104" s="152"/>
    </row>
    <row r="105" s="1" customFormat="1" customHeight="1" spans="1:58">
      <c r="A105" s="61"/>
      <c r="B105" s="55" t="s">
        <v>44</v>
      </c>
      <c r="C105" s="56">
        <v>100</v>
      </c>
      <c r="D105" s="57">
        <f>0.93/60*100</f>
        <v>1.55</v>
      </c>
      <c r="E105" s="58">
        <f>0.06/60*100</f>
        <v>0.1</v>
      </c>
      <c r="F105" s="59">
        <f>1.95/60*100</f>
        <v>3.25</v>
      </c>
      <c r="G105" s="52">
        <f t="shared" si="22"/>
        <v>20.1</v>
      </c>
      <c r="H105" s="62" t="s">
        <v>45</v>
      </c>
      <c r="I105" s="153"/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152"/>
      <c r="W105" s="152"/>
      <c r="X105" s="152"/>
      <c r="Y105" s="152"/>
      <c r="Z105" s="152"/>
      <c r="AA105" s="152"/>
      <c r="AB105" s="152"/>
      <c r="AC105" s="152"/>
      <c r="AD105" s="152"/>
      <c r="AE105" s="152"/>
      <c r="AF105" s="152"/>
      <c r="AG105" s="152"/>
      <c r="AH105" s="152"/>
      <c r="AI105" s="152"/>
      <c r="AJ105" s="152"/>
      <c r="AK105" s="152"/>
      <c r="AL105" s="152"/>
      <c r="AM105" s="152"/>
      <c r="AN105" s="152"/>
      <c r="AO105" s="152"/>
      <c r="AP105" s="152"/>
      <c r="AQ105" s="152"/>
      <c r="AR105" s="152"/>
      <c r="AS105" s="152"/>
      <c r="AT105" s="152"/>
      <c r="AU105" s="152"/>
      <c r="AV105" s="152"/>
      <c r="AW105" s="152"/>
      <c r="AX105" s="152"/>
      <c r="AY105" s="152"/>
      <c r="AZ105" s="152"/>
      <c r="BA105" s="152"/>
      <c r="BB105" s="152"/>
      <c r="BC105" s="152"/>
      <c r="BD105" s="152"/>
      <c r="BE105" s="152"/>
      <c r="BF105" s="152"/>
    </row>
    <row r="106" s="1" customFormat="1" customHeight="1" spans="1:58">
      <c r="A106" s="61"/>
      <c r="B106" s="55" t="s">
        <v>36</v>
      </c>
      <c r="C106" s="56" t="s">
        <v>37</v>
      </c>
      <c r="D106" s="57">
        <v>2.37</v>
      </c>
      <c r="E106" s="58">
        <f>0.4</f>
        <v>0.4</v>
      </c>
      <c r="F106" s="59">
        <v>14.49</v>
      </c>
      <c r="G106" s="52">
        <f t="shared" si="22"/>
        <v>71.04</v>
      </c>
      <c r="H106" s="62" t="s">
        <v>23</v>
      </c>
      <c r="I106" s="8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52"/>
      <c r="X106" s="152"/>
      <c r="Y106" s="152"/>
      <c r="Z106" s="152"/>
      <c r="AA106" s="152"/>
      <c r="AB106" s="152"/>
      <c r="AC106" s="152"/>
      <c r="AD106" s="152"/>
      <c r="AE106" s="152"/>
      <c r="AF106" s="152"/>
      <c r="AG106" s="152"/>
      <c r="AH106" s="152"/>
      <c r="AI106" s="152"/>
      <c r="AJ106" s="152"/>
      <c r="AK106" s="152"/>
      <c r="AL106" s="152"/>
      <c r="AM106" s="152"/>
      <c r="AN106" s="152"/>
      <c r="AO106" s="152"/>
      <c r="AP106" s="152"/>
      <c r="AQ106" s="152"/>
      <c r="AR106" s="152"/>
      <c r="AS106" s="152"/>
      <c r="AT106" s="152"/>
      <c r="AU106" s="152"/>
      <c r="AV106" s="152"/>
      <c r="AW106" s="152"/>
      <c r="AX106" s="152"/>
      <c r="AY106" s="152"/>
      <c r="AZ106" s="152"/>
      <c r="BA106" s="152"/>
      <c r="BB106" s="152"/>
      <c r="BC106" s="152"/>
      <c r="BD106" s="152"/>
      <c r="BE106" s="152"/>
      <c r="BF106" s="152"/>
    </row>
    <row r="107" s="1" customFormat="1" customHeight="1" spans="1:58">
      <c r="A107" s="88"/>
      <c r="B107" s="89" t="s">
        <v>38</v>
      </c>
      <c r="C107" s="90">
        <v>200</v>
      </c>
      <c r="D107" s="91">
        <v>0.43</v>
      </c>
      <c r="E107" s="92">
        <v>0.02</v>
      </c>
      <c r="F107" s="93">
        <v>27.6</v>
      </c>
      <c r="G107" s="52">
        <f t="shared" si="22"/>
        <v>112.3</v>
      </c>
      <c r="H107" s="68" t="s">
        <v>39</v>
      </c>
      <c r="I107" s="8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2"/>
      <c r="Y107" s="152"/>
      <c r="Z107" s="152"/>
      <c r="AA107" s="152"/>
      <c r="AB107" s="152"/>
      <c r="AC107" s="152"/>
      <c r="AD107" s="152"/>
      <c r="AE107" s="152"/>
      <c r="AF107" s="152"/>
      <c r="AG107" s="152"/>
      <c r="AH107" s="152"/>
      <c r="AI107" s="152"/>
      <c r="AJ107" s="152"/>
      <c r="AK107" s="152"/>
      <c r="AL107" s="152"/>
      <c r="AM107" s="152"/>
      <c r="AN107" s="152"/>
      <c r="AO107" s="152"/>
      <c r="AP107" s="152"/>
      <c r="AQ107" s="152"/>
      <c r="AR107" s="152"/>
      <c r="AS107" s="152"/>
      <c r="AT107" s="152"/>
      <c r="AU107" s="152"/>
      <c r="AV107" s="152"/>
      <c r="AW107" s="152"/>
      <c r="AX107" s="152"/>
      <c r="AY107" s="152"/>
      <c r="AZ107" s="152"/>
      <c r="BA107" s="152"/>
      <c r="BB107" s="152"/>
      <c r="BC107" s="152"/>
      <c r="BD107" s="152"/>
      <c r="BE107" s="152"/>
      <c r="BF107" s="152"/>
    </row>
    <row r="108" s="1" customFormat="1" customHeight="1" spans="1:58">
      <c r="A108" s="126" t="s">
        <v>25</v>
      </c>
      <c r="B108" s="70"/>
      <c r="C108" s="182">
        <f>SUM(C102:C107)+100</f>
        <v>960</v>
      </c>
      <c r="D108" s="200">
        <f t="shared" ref="D108:G108" si="23">SUM(D102:D107)</f>
        <v>22.6122222222222</v>
      </c>
      <c r="E108" s="201">
        <f t="shared" si="23"/>
        <v>16.5255555555556</v>
      </c>
      <c r="F108" s="202">
        <f t="shared" si="23"/>
        <v>87.9488888888889</v>
      </c>
      <c r="G108" s="203">
        <f t="shared" si="23"/>
        <v>590.974444444445</v>
      </c>
      <c r="H108" s="81"/>
      <c r="I108" s="8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52"/>
      <c r="X108" s="152"/>
      <c r="Y108" s="152"/>
      <c r="Z108" s="152"/>
      <c r="AA108" s="152"/>
      <c r="AB108" s="152"/>
      <c r="AC108" s="152"/>
      <c r="AD108" s="152"/>
      <c r="AE108" s="152"/>
      <c r="AF108" s="152"/>
      <c r="AG108" s="152"/>
      <c r="AH108" s="152"/>
      <c r="AI108" s="152"/>
      <c r="AJ108" s="152"/>
      <c r="AK108" s="152"/>
      <c r="AL108" s="152"/>
      <c r="AM108" s="152"/>
      <c r="AN108" s="152"/>
      <c r="AO108" s="152"/>
      <c r="AP108" s="152"/>
      <c r="AQ108" s="152"/>
      <c r="AR108" s="152"/>
      <c r="AS108" s="152"/>
      <c r="AT108" s="152"/>
      <c r="AU108" s="152"/>
      <c r="AV108" s="152"/>
      <c r="AW108" s="152"/>
      <c r="AX108" s="152"/>
      <c r="AY108" s="152"/>
      <c r="AZ108" s="152"/>
      <c r="BA108" s="152"/>
      <c r="BB108" s="152"/>
      <c r="BC108" s="152"/>
      <c r="BD108" s="152"/>
      <c r="BE108" s="152"/>
      <c r="BF108" s="152"/>
    </row>
    <row r="109" s="1" customFormat="1" customHeight="1" spans="1:58">
      <c r="A109" s="128" t="s">
        <v>40</v>
      </c>
      <c r="B109" s="129"/>
      <c r="C109" s="164">
        <f>C108+C100</f>
        <v>1912</v>
      </c>
      <c r="D109" s="96">
        <f t="shared" ref="D109:G109" si="24">D108+D100</f>
        <v>59.125</v>
      </c>
      <c r="E109" s="97">
        <f t="shared" si="24"/>
        <v>54.2177777777778</v>
      </c>
      <c r="F109" s="98">
        <f t="shared" si="24"/>
        <v>203.185</v>
      </c>
      <c r="G109" s="99">
        <f t="shared" si="24"/>
        <v>1537.2</v>
      </c>
      <c r="H109" s="76"/>
      <c r="I109" s="8"/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  <c r="T109" s="152"/>
      <c r="U109" s="152"/>
      <c r="V109" s="152"/>
      <c r="W109" s="152"/>
      <c r="X109" s="152"/>
      <c r="Y109" s="152"/>
      <c r="Z109" s="152"/>
      <c r="AA109" s="152"/>
      <c r="AB109" s="152"/>
      <c r="AC109" s="152"/>
      <c r="AD109" s="152"/>
      <c r="AE109" s="152"/>
      <c r="AF109" s="152"/>
      <c r="AG109" s="152"/>
      <c r="AH109" s="152"/>
      <c r="AI109" s="152"/>
      <c r="AJ109" s="152"/>
      <c r="AK109" s="152"/>
      <c r="AL109" s="152"/>
      <c r="AM109" s="152"/>
      <c r="AN109" s="152"/>
      <c r="AO109" s="152"/>
      <c r="AP109" s="152"/>
      <c r="AQ109" s="152"/>
      <c r="AR109" s="152"/>
      <c r="AS109" s="152"/>
      <c r="AT109" s="152"/>
      <c r="AU109" s="152"/>
      <c r="AV109" s="152"/>
      <c r="AW109" s="152"/>
      <c r="AX109" s="152"/>
      <c r="AY109" s="152"/>
      <c r="AZ109" s="152"/>
      <c r="BA109" s="152"/>
      <c r="BB109" s="152"/>
      <c r="BC109" s="152"/>
      <c r="BD109" s="152"/>
      <c r="BE109" s="152"/>
      <c r="BF109" s="152"/>
    </row>
    <row r="110" s="1" customFormat="1" customHeight="1" spans="1:58">
      <c r="A110" s="100"/>
      <c r="B110" s="101"/>
      <c r="C110" s="106"/>
      <c r="D110" s="171"/>
      <c r="E110" s="171"/>
      <c r="F110" s="171"/>
      <c r="G110" s="171"/>
      <c r="H110" s="76"/>
      <c r="I110" s="8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52"/>
      <c r="V110" s="152"/>
      <c r="W110" s="152"/>
      <c r="X110" s="152"/>
      <c r="Y110" s="152"/>
      <c r="Z110" s="152"/>
      <c r="AA110" s="152"/>
      <c r="AB110" s="152"/>
      <c r="AC110" s="152"/>
      <c r="AD110" s="152"/>
      <c r="AE110" s="152"/>
      <c r="AF110" s="152"/>
      <c r="AG110" s="152"/>
      <c r="AH110" s="152"/>
      <c r="AI110" s="152"/>
      <c r="AJ110" s="152"/>
      <c r="AK110" s="152"/>
      <c r="AL110" s="152"/>
      <c r="AM110" s="152"/>
      <c r="AN110" s="152"/>
      <c r="AO110" s="152"/>
      <c r="AP110" s="152"/>
      <c r="AQ110" s="152"/>
      <c r="AR110" s="152"/>
      <c r="AS110" s="152"/>
      <c r="AT110" s="152"/>
      <c r="AU110" s="152"/>
      <c r="AV110" s="152"/>
      <c r="AW110" s="152"/>
      <c r="AX110" s="152"/>
      <c r="AY110" s="152"/>
      <c r="AZ110" s="152"/>
      <c r="BA110" s="152"/>
      <c r="BB110" s="152"/>
      <c r="BC110" s="152"/>
      <c r="BD110" s="152"/>
      <c r="BE110" s="152"/>
      <c r="BF110" s="152"/>
    </row>
    <row r="111" ht="17.25" customHeight="1" spans="1:17">
      <c r="A111" s="204" t="s">
        <v>108</v>
      </c>
      <c r="B111" s="205"/>
      <c r="C111" s="205"/>
      <c r="D111" s="205"/>
      <c r="E111" s="205"/>
      <c r="F111" s="205"/>
      <c r="G111" s="205"/>
      <c r="H111" s="76"/>
      <c r="I111" s="8"/>
      <c r="J111" s="7"/>
      <c r="K111" s="3"/>
      <c r="L111" s="3"/>
      <c r="M111" s="3"/>
      <c r="N111" s="3"/>
      <c r="O111" s="3"/>
      <c r="P111" s="3"/>
      <c r="Q111" s="3"/>
    </row>
    <row r="112" ht="17.25" customHeight="1" spans="1:17">
      <c r="A112" s="42"/>
      <c r="B112" s="206" t="s">
        <v>12</v>
      </c>
      <c r="C112" s="206"/>
      <c r="D112" s="206"/>
      <c r="E112" s="206"/>
      <c r="F112" s="206"/>
      <c r="G112" s="206"/>
      <c r="H112" s="76"/>
      <c r="I112" s="8"/>
      <c r="J112" s="7"/>
      <c r="K112" s="3"/>
      <c r="L112" s="3"/>
      <c r="M112" s="3"/>
      <c r="N112" s="3"/>
      <c r="O112" s="3"/>
      <c r="P112" s="3"/>
      <c r="Q112" s="3"/>
    </row>
    <row r="113" ht="17.25" customHeight="1" spans="1:17">
      <c r="A113" s="172" t="s">
        <v>13</v>
      </c>
      <c r="B113" s="173"/>
      <c r="C113" s="110"/>
      <c r="D113" s="174"/>
      <c r="E113" s="174"/>
      <c r="F113" s="174"/>
      <c r="G113" s="174"/>
      <c r="H113" s="76"/>
      <c r="I113" s="8"/>
      <c r="J113" s="152"/>
      <c r="K113" s="3"/>
      <c r="L113" s="3"/>
      <c r="M113" s="3"/>
      <c r="N113" s="3"/>
      <c r="O113" s="3"/>
      <c r="P113" s="3"/>
      <c r="Q113" s="3"/>
    </row>
    <row r="114" s="1" customFormat="1" customHeight="1" spans="1:58">
      <c r="A114" s="207"/>
      <c r="B114" s="82" t="s">
        <v>191</v>
      </c>
      <c r="C114" s="83">
        <v>100</v>
      </c>
      <c r="D114" s="84">
        <f>0.33</f>
        <v>0.33</v>
      </c>
      <c r="E114" s="85">
        <f>0.06</f>
        <v>0.06</v>
      </c>
      <c r="F114" s="86">
        <f>1.14</f>
        <v>1.14</v>
      </c>
      <c r="G114" s="52">
        <f t="shared" ref="G114:G119" si="25">(D114*4)+(E114*9)+(F114*4)</f>
        <v>6.42</v>
      </c>
      <c r="H114" s="87" t="s">
        <v>109</v>
      </c>
      <c r="I114" s="8"/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  <c r="W114" s="152"/>
      <c r="X114" s="152"/>
      <c r="Y114" s="152"/>
      <c r="Z114" s="152"/>
      <c r="AA114" s="152"/>
      <c r="AB114" s="152"/>
      <c r="AC114" s="152"/>
      <c r="AD114" s="152"/>
      <c r="AE114" s="152"/>
      <c r="AF114" s="152"/>
      <c r="AG114" s="152"/>
      <c r="AH114" s="152"/>
      <c r="AI114" s="152"/>
      <c r="AJ114" s="152"/>
      <c r="AK114" s="152"/>
      <c r="AL114" s="152"/>
      <c r="AM114" s="152"/>
      <c r="AN114" s="152"/>
      <c r="AO114" s="152"/>
      <c r="AP114" s="152"/>
      <c r="AQ114" s="152"/>
      <c r="AR114" s="152"/>
      <c r="AS114" s="152"/>
      <c r="AT114" s="152"/>
      <c r="AU114" s="152"/>
      <c r="AV114" s="152"/>
      <c r="AW114" s="152"/>
      <c r="AX114" s="152"/>
      <c r="AY114" s="152"/>
      <c r="AZ114" s="152"/>
      <c r="BA114" s="152"/>
      <c r="BB114" s="152"/>
      <c r="BC114" s="152"/>
      <c r="BD114" s="152"/>
      <c r="BE114" s="152"/>
      <c r="BF114" s="152"/>
    </row>
    <row r="115" s="1" customFormat="1" customHeight="1" spans="1:58">
      <c r="A115" s="115"/>
      <c r="B115" s="55" t="s">
        <v>110</v>
      </c>
      <c r="C115" s="56">
        <v>100</v>
      </c>
      <c r="D115" s="57">
        <f>10.86</f>
        <v>10.86</v>
      </c>
      <c r="E115" s="58">
        <f>8.25</f>
        <v>8.25</v>
      </c>
      <c r="F115" s="59">
        <f>12.31</f>
        <v>12.31</v>
      </c>
      <c r="G115" s="52">
        <f t="shared" si="25"/>
        <v>166.93</v>
      </c>
      <c r="H115" s="187" t="s">
        <v>111</v>
      </c>
      <c r="I115" s="7"/>
      <c r="J115" s="152"/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  <c r="Y115" s="152"/>
      <c r="Z115" s="152"/>
      <c r="AA115" s="152"/>
      <c r="AB115" s="152"/>
      <c r="AC115" s="152"/>
      <c r="AD115" s="152"/>
      <c r="AE115" s="152"/>
      <c r="AF115" s="152"/>
      <c r="AG115" s="152"/>
      <c r="AH115" s="152"/>
      <c r="AI115" s="152"/>
      <c r="AJ115" s="152"/>
      <c r="AK115" s="152"/>
      <c r="AL115" s="152"/>
      <c r="AM115" s="152"/>
      <c r="AN115" s="152"/>
      <c r="AO115" s="152"/>
      <c r="AP115" s="152"/>
      <c r="AQ115" s="152"/>
      <c r="AR115" s="152"/>
      <c r="AS115" s="152"/>
      <c r="AT115" s="152"/>
      <c r="AU115" s="152"/>
      <c r="AV115" s="152"/>
      <c r="AW115" s="152"/>
      <c r="AX115" s="152"/>
      <c r="AY115" s="152"/>
      <c r="AZ115" s="152"/>
      <c r="BA115" s="152"/>
      <c r="BB115" s="152"/>
      <c r="BC115" s="152"/>
      <c r="BD115" s="152"/>
      <c r="BE115" s="152"/>
      <c r="BF115" s="152"/>
    </row>
    <row r="116" s="1" customFormat="1" customHeight="1" spans="1:58">
      <c r="A116" s="115"/>
      <c r="B116" s="55" t="s">
        <v>192</v>
      </c>
      <c r="C116" s="56">
        <v>200</v>
      </c>
      <c r="D116" s="57">
        <f>3.33</f>
        <v>3.33</v>
      </c>
      <c r="E116" s="58">
        <f>3.28</f>
        <v>3.28</v>
      </c>
      <c r="F116" s="59">
        <f>22.66</f>
        <v>22.66</v>
      </c>
      <c r="G116" s="52">
        <f t="shared" si="25"/>
        <v>133.48</v>
      </c>
      <c r="H116" s="187" t="s">
        <v>64</v>
      </c>
      <c r="I116" s="7"/>
      <c r="J116" s="152"/>
      <c r="K116" s="152"/>
      <c r="L116" s="152"/>
      <c r="M116" s="152"/>
      <c r="N116" s="152"/>
      <c r="O116" s="152"/>
      <c r="P116" s="152"/>
      <c r="Q116" s="152"/>
      <c r="R116" s="152"/>
      <c r="S116" s="152"/>
      <c r="T116" s="152"/>
      <c r="U116" s="152"/>
      <c r="V116" s="152"/>
      <c r="W116" s="152"/>
      <c r="X116" s="152"/>
      <c r="Y116" s="152"/>
      <c r="Z116" s="152"/>
      <c r="AA116" s="152"/>
      <c r="AB116" s="152"/>
      <c r="AC116" s="152"/>
      <c r="AD116" s="152"/>
      <c r="AE116" s="152"/>
      <c r="AF116" s="152"/>
      <c r="AG116" s="152"/>
      <c r="AH116" s="152"/>
      <c r="AI116" s="152"/>
      <c r="AJ116" s="152"/>
      <c r="AK116" s="152"/>
      <c r="AL116" s="152"/>
      <c r="AM116" s="152"/>
      <c r="AN116" s="152"/>
      <c r="AO116" s="152"/>
      <c r="AP116" s="152"/>
      <c r="AQ116" s="152"/>
      <c r="AR116" s="152"/>
      <c r="AS116" s="152"/>
      <c r="AT116" s="152"/>
      <c r="AU116" s="152"/>
      <c r="AV116" s="152"/>
      <c r="AW116" s="152"/>
      <c r="AX116" s="152"/>
      <c r="AY116" s="152"/>
      <c r="AZ116" s="152"/>
      <c r="BA116" s="152"/>
      <c r="BB116" s="152"/>
      <c r="BC116" s="152"/>
      <c r="BD116" s="152"/>
      <c r="BE116" s="152"/>
      <c r="BF116" s="152"/>
    </row>
    <row r="117" s="1" customFormat="1" customHeight="1" spans="1:58">
      <c r="A117" s="115"/>
      <c r="B117" s="55" t="s">
        <v>46</v>
      </c>
      <c r="C117" s="56">
        <v>200</v>
      </c>
      <c r="D117" s="57">
        <f>5.71</f>
        <v>5.71</v>
      </c>
      <c r="E117" s="58">
        <f>4.8</f>
        <v>4.8</v>
      </c>
      <c r="F117" s="59">
        <f>20.82</f>
        <v>20.82</v>
      </c>
      <c r="G117" s="52">
        <f t="shared" si="25"/>
        <v>149.32</v>
      </c>
      <c r="H117" s="187" t="s">
        <v>47</v>
      </c>
      <c r="I117" s="152"/>
      <c r="J117" s="152"/>
      <c r="K117" s="152"/>
      <c r="L117" s="152"/>
      <c r="M117" s="152"/>
      <c r="N117" s="152"/>
      <c r="O117" s="152"/>
      <c r="P117" s="152"/>
      <c r="Q117" s="152"/>
      <c r="R117" s="152"/>
      <c r="S117" s="152"/>
      <c r="T117" s="152"/>
      <c r="U117" s="152"/>
      <c r="V117" s="152"/>
      <c r="W117" s="152"/>
      <c r="X117" s="152"/>
      <c r="Y117" s="152"/>
      <c r="Z117" s="152"/>
      <c r="AA117" s="152"/>
      <c r="AB117" s="152"/>
      <c r="AC117" s="152"/>
      <c r="AD117" s="152"/>
      <c r="AE117" s="152"/>
      <c r="AF117" s="152"/>
      <c r="AG117" s="152"/>
      <c r="AH117" s="152"/>
      <c r="AI117" s="152"/>
      <c r="AJ117" s="152"/>
      <c r="AK117" s="152"/>
      <c r="AL117" s="152"/>
      <c r="AM117" s="152"/>
      <c r="AN117" s="152"/>
      <c r="AO117" s="152"/>
      <c r="AP117" s="152"/>
      <c r="AQ117" s="152"/>
      <c r="AR117" s="152"/>
      <c r="AS117" s="152"/>
      <c r="AT117" s="152"/>
      <c r="AU117" s="152"/>
      <c r="AV117" s="152"/>
      <c r="AW117" s="152"/>
      <c r="AX117" s="152"/>
      <c r="AY117" s="152"/>
      <c r="AZ117" s="152"/>
      <c r="BA117" s="152"/>
      <c r="BB117" s="152"/>
      <c r="BC117" s="152"/>
      <c r="BD117" s="152"/>
      <c r="BE117" s="152"/>
      <c r="BF117" s="152"/>
    </row>
    <row r="118" s="1" customFormat="1" customHeight="1" spans="1:58">
      <c r="A118" s="61"/>
      <c r="B118" s="55" t="s">
        <v>22</v>
      </c>
      <c r="C118" s="191">
        <v>50</v>
      </c>
      <c r="D118" s="57">
        <f>3.04</f>
        <v>3.04</v>
      </c>
      <c r="E118" s="58">
        <f>0.36</f>
        <v>0.36</v>
      </c>
      <c r="F118" s="59">
        <f>18.48</f>
        <v>18.48</v>
      </c>
      <c r="G118" s="52">
        <f t="shared" si="25"/>
        <v>89.32</v>
      </c>
      <c r="H118" s="62" t="s">
        <v>23</v>
      </c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  <c r="T118" s="152"/>
      <c r="U118" s="152"/>
      <c r="V118" s="152"/>
      <c r="W118" s="152"/>
      <c r="X118" s="152"/>
      <c r="Y118" s="152"/>
      <c r="Z118" s="152"/>
      <c r="AA118" s="152"/>
      <c r="AB118" s="152"/>
      <c r="AC118" s="152"/>
      <c r="AD118" s="152"/>
      <c r="AE118" s="152"/>
      <c r="AF118" s="152"/>
      <c r="AG118" s="152"/>
      <c r="AH118" s="152"/>
      <c r="AI118" s="152"/>
      <c r="AJ118" s="152"/>
      <c r="AK118" s="152"/>
      <c r="AL118" s="152"/>
      <c r="AM118" s="152"/>
      <c r="AN118" s="152"/>
      <c r="AO118" s="152"/>
      <c r="AP118" s="152"/>
      <c r="AQ118" s="152"/>
      <c r="AR118" s="152"/>
      <c r="AS118" s="152"/>
      <c r="AT118" s="152"/>
      <c r="AU118" s="152"/>
      <c r="AV118" s="152"/>
      <c r="AW118" s="152"/>
      <c r="AX118" s="152"/>
      <c r="AY118" s="152"/>
      <c r="AZ118" s="152"/>
      <c r="BA118" s="152"/>
      <c r="BB118" s="152"/>
      <c r="BC118" s="152"/>
      <c r="BD118" s="152"/>
      <c r="BE118" s="152"/>
      <c r="BF118" s="152"/>
    </row>
    <row r="119" s="1" customFormat="1" ht="30.75" customHeight="1" spans="1:58">
      <c r="A119" s="88"/>
      <c r="B119" s="208" t="s">
        <v>193</v>
      </c>
      <c r="C119" s="90" t="s">
        <v>180</v>
      </c>
      <c r="D119" s="91">
        <v>0.08</v>
      </c>
      <c r="E119" s="92">
        <v>0</v>
      </c>
      <c r="F119" s="93">
        <f>12</f>
        <v>12</v>
      </c>
      <c r="G119" s="52">
        <f t="shared" si="25"/>
        <v>48.32</v>
      </c>
      <c r="H119" s="68" t="s">
        <v>23</v>
      </c>
      <c r="I119" s="210"/>
      <c r="J119" s="152"/>
      <c r="K119" s="152"/>
      <c r="L119" s="152"/>
      <c r="M119" s="152"/>
      <c r="N119" s="152"/>
      <c r="O119" s="152"/>
      <c r="P119" s="152"/>
      <c r="Q119" s="152"/>
      <c r="R119" s="152"/>
      <c r="S119" s="152"/>
      <c r="T119" s="152"/>
      <c r="U119" s="152"/>
      <c r="V119" s="152"/>
      <c r="W119" s="152"/>
      <c r="X119" s="152"/>
      <c r="Y119" s="152"/>
      <c r="Z119" s="152"/>
      <c r="AA119" s="152"/>
      <c r="AB119" s="152"/>
      <c r="AC119" s="152"/>
      <c r="AD119" s="152"/>
      <c r="AE119" s="152"/>
      <c r="AF119" s="152"/>
      <c r="AG119" s="152"/>
      <c r="AH119" s="152"/>
      <c r="AI119" s="152"/>
      <c r="AJ119" s="152"/>
      <c r="AK119" s="152"/>
      <c r="AL119" s="152"/>
      <c r="AM119" s="152"/>
      <c r="AN119" s="152"/>
      <c r="AO119" s="152"/>
      <c r="AP119" s="152"/>
      <c r="AQ119" s="152"/>
      <c r="AR119" s="152"/>
      <c r="AS119" s="152"/>
      <c r="AT119" s="152"/>
      <c r="AU119" s="152"/>
      <c r="AV119" s="152"/>
      <c r="AW119" s="152"/>
      <c r="AX119" s="152"/>
      <c r="AY119" s="152"/>
      <c r="AZ119" s="152"/>
      <c r="BA119" s="152"/>
      <c r="BB119" s="152"/>
      <c r="BC119" s="152"/>
      <c r="BD119" s="152"/>
      <c r="BE119" s="152"/>
      <c r="BF119" s="152"/>
    </row>
    <row r="120" s="1" customFormat="1" customHeight="1" spans="1:58">
      <c r="A120" s="120" t="s">
        <v>25</v>
      </c>
      <c r="B120" s="141"/>
      <c r="C120" s="209">
        <f>SUM(C114:C119)+40</f>
        <v>690</v>
      </c>
      <c r="D120" s="143">
        <f t="shared" ref="D120:G120" si="26">D114+D115+D116+D117+D119+D118</f>
        <v>23.35</v>
      </c>
      <c r="E120" s="144">
        <f t="shared" si="26"/>
        <v>16.75</v>
      </c>
      <c r="F120" s="145">
        <f t="shared" si="26"/>
        <v>87.41</v>
      </c>
      <c r="G120" s="146">
        <f t="shared" si="26"/>
        <v>593.79</v>
      </c>
      <c r="H120" s="180"/>
      <c r="I120" s="8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  <c r="T120" s="152"/>
      <c r="U120" s="152"/>
      <c r="V120" s="152"/>
      <c r="W120" s="152"/>
      <c r="X120" s="152"/>
      <c r="Y120" s="152"/>
      <c r="Z120" s="152"/>
      <c r="AA120" s="152"/>
      <c r="AB120" s="152"/>
      <c r="AC120" s="152"/>
      <c r="AD120" s="152"/>
      <c r="AE120" s="152"/>
      <c r="AF120" s="152"/>
      <c r="AG120" s="152"/>
      <c r="AH120" s="152"/>
      <c r="AI120" s="152"/>
      <c r="AJ120" s="152"/>
      <c r="AK120" s="152"/>
      <c r="AL120" s="152"/>
      <c r="AM120" s="152"/>
      <c r="AN120" s="152"/>
      <c r="AO120" s="152"/>
      <c r="AP120" s="152"/>
      <c r="AQ120" s="152"/>
      <c r="AR120" s="152"/>
      <c r="AS120" s="152"/>
      <c r="AT120" s="152"/>
      <c r="AU120" s="152"/>
      <c r="AV120" s="152"/>
      <c r="AW120" s="152"/>
      <c r="AX120" s="152"/>
      <c r="AY120" s="152"/>
      <c r="AZ120" s="152"/>
      <c r="BA120" s="152"/>
      <c r="BB120" s="152"/>
      <c r="BC120" s="152"/>
      <c r="BD120" s="152"/>
      <c r="BE120" s="152"/>
      <c r="BF120" s="152"/>
    </row>
    <row r="121" ht="17.25" customHeight="1" spans="1:17">
      <c r="A121" s="147" t="s">
        <v>26</v>
      </c>
      <c r="B121" s="124"/>
      <c r="C121" s="124"/>
      <c r="D121" s="79"/>
      <c r="E121" s="79"/>
      <c r="F121" s="80"/>
      <c r="G121" s="80"/>
      <c r="H121" s="180"/>
      <c r="I121" s="8"/>
      <c r="J121" s="153"/>
      <c r="K121" s="3"/>
      <c r="L121" s="3"/>
      <c r="M121" s="3"/>
      <c r="N121" s="3"/>
      <c r="O121" s="3"/>
      <c r="P121" s="3"/>
      <c r="Q121" s="3"/>
    </row>
    <row r="122" s="1" customFormat="1" ht="30.75" customHeight="1" spans="1:58">
      <c r="A122" s="207"/>
      <c r="B122" s="82" t="s">
        <v>194</v>
      </c>
      <c r="C122" s="83">
        <v>250</v>
      </c>
      <c r="D122" s="84">
        <v>3.8</v>
      </c>
      <c r="E122" s="85">
        <v>4.9</v>
      </c>
      <c r="F122" s="86">
        <v>14.3</v>
      </c>
      <c r="G122" s="52">
        <f t="shared" ref="G122:G126" si="27">(D122*4)+(E122*9)+(F122*4)</f>
        <v>116.5</v>
      </c>
      <c r="H122" s="87" t="s">
        <v>114</v>
      </c>
      <c r="I122" s="8" t="s">
        <v>195</v>
      </c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2"/>
      <c r="Y122" s="152"/>
      <c r="Z122" s="152"/>
      <c r="AA122" s="152"/>
      <c r="AB122" s="152"/>
      <c r="AC122" s="152"/>
      <c r="AD122" s="152"/>
      <c r="AE122" s="152"/>
      <c r="AF122" s="152"/>
      <c r="AG122" s="152"/>
      <c r="AH122" s="152"/>
      <c r="AI122" s="152"/>
      <c r="AJ122" s="152"/>
      <c r="AK122" s="152"/>
      <c r="AL122" s="152"/>
      <c r="AM122" s="152"/>
      <c r="AN122" s="152"/>
      <c r="AO122" s="152"/>
      <c r="AP122" s="152"/>
      <c r="AQ122" s="152"/>
      <c r="AR122" s="152"/>
      <c r="AS122" s="152"/>
      <c r="AT122" s="152"/>
      <c r="AU122" s="152"/>
      <c r="AV122" s="152"/>
      <c r="AW122" s="152"/>
      <c r="AX122" s="152"/>
      <c r="AY122" s="152"/>
      <c r="AZ122" s="152"/>
      <c r="BA122" s="152"/>
      <c r="BB122" s="152"/>
      <c r="BC122" s="152"/>
      <c r="BD122" s="152"/>
      <c r="BE122" s="152"/>
      <c r="BF122" s="152"/>
    </row>
    <row r="123" s="1" customFormat="1" customHeight="1" spans="1:58">
      <c r="A123" s="61"/>
      <c r="B123" s="55" t="s">
        <v>115</v>
      </c>
      <c r="C123" s="56">
        <v>250</v>
      </c>
      <c r="D123" s="57">
        <v>21.47</v>
      </c>
      <c r="E123" s="58">
        <v>19.69</v>
      </c>
      <c r="F123" s="59">
        <v>35.69</v>
      </c>
      <c r="G123" s="52">
        <f t="shared" si="27"/>
        <v>405.85</v>
      </c>
      <c r="H123" s="62" t="s">
        <v>116</v>
      </c>
      <c r="I123" s="8"/>
      <c r="J123" s="152"/>
      <c r="K123" s="152"/>
      <c r="L123" s="152"/>
      <c r="M123" s="152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2"/>
      <c r="Y123" s="152"/>
      <c r="Z123" s="152"/>
      <c r="AA123" s="152"/>
      <c r="AB123" s="152"/>
      <c r="AC123" s="152"/>
      <c r="AD123" s="152"/>
      <c r="AE123" s="152"/>
      <c r="AF123" s="152"/>
      <c r="AG123" s="152"/>
      <c r="AH123" s="152"/>
      <c r="AI123" s="152"/>
      <c r="AJ123" s="152"/>
      <c r="AK123" s="152"/>
      <c r="AL123" s="152"/>
      <c r="AM123" s="152"/>
      <c r="AN123" s="152"/>
      <c r="AO123" s="152"/>
      <c r="AP123" s="152"/>
      <c r="AQ123" s="152"/>
      <c r="AR123" s="152"/>
      <c r="AS123" s="152"/>
      <c r="AT123" s="152"/>
      <c r="AU123" s="152"/>
      <c r="AV123" s="152"/>
      <c r="AW123" s="152"/>
      <c r="AX123" s="152"/>
      <c r="AY123" s="152"/>
      <c r="AZ123" s="152"/>
      <c r="BA123" s="152"/>
      <c r="BB123" s="152"/>
      <c r="BC123" s="152"/>
      <c r="BD123" s="152"/>
      <c r="BE123" s="152"/>
      <c r="BF123" s="152"/>
    </row>
    <row r="124" s="1" customFormat="1" customHeight="1" spans="1:58">
      <c r="A124" s="61"/>
      <c r="B124" s="55" t="s">
        <v>178</v>
      </c>
      <c r="C124" s="56">
        <v>100</v>
      </c>
      <c r="D124" s="57">
        <v>0.4</v>
      </c>
      <c r="E124" s="58">
        <v>0.05</v>
      </c>
      <c r="F124" s="59">
        <v>0.85</v>
      </c>
      <c r="G124" s="52">
        <f t="shared" si="27"/>
        <v>5.45</v>
      </c>
      <c r="H124" s="62" t="s">
        <v>65</v>
      </c>
      <c r="I124" s="8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W124" s="152"/>
      <c r="X124" s="152"/>
      <c r="Y124" s="152"/>
      <c r="Z124" s="152"/>
      <c r="AA124" s="152"/>
      <c r="AB124" s="152"/>
      <c r="AC124" s="152"/>
      <c r="AD124" s="152"/>
      <c r="AE124" s="152"/>
      <c r="AF124" s="152"/>
      <c r="AG124" s="152"/>
      <c r="AH124" s="152"/>
      <c r="AI124" s="152"/>
      <c r="AJ124" s="152"/>
      <c r="AK124" s="152"/>
      <c r="AL124" s="152"/>
      <c r="AM124" s="152"/>
      <c r="AN124" s="152"/>
      <c r="AO124" s="152"/>
      <c r="AP124" s="152"/>
      <c r="AQ124" s="152"/>
      <c r="AR124" s="152"/>
      <c r="AS124" s="152"/>
      <c r="AT124" s="152"/>
      <c r="AU124" s="152"/>
      <c r="AV124" s="152"/>
      <c r="AW124" s="152"/>
      <c r="AX124" s="152"/>
      <c r="AY124" s="152"/>
      <c r="AZ124" s="152"/>
      <c r="BA124" s="152"/>
      <c r="BB124" s="152"/>
      <c r="BC124" s="152"/>
      <c r="BD124" s="152"/>
      <c r="BE124" s="152"/>
      <c r="BF124" s="152"/>
    </row>
    <row r="125" s="1" customFormat="1" customHeight="1" spans="1:58">
      <c r="A125" s="61"/>
      <c r="B125" s="55" t="s">
        <v>36</v>
      </c>
      <c r="C125" s="56" t="s">
        <v>37</v>
      </c>
      <c r="D125" s="57">
        <v>3.95</v>
      </c>
      <c r="E125" s="58">
        <v>0.5</v>
      </c>
      <c r="F125" s="59">
        <v>24.15</v>
      </c>
      <c r="G125" s="52">
        <f t="shared" si="27"/>
        <v>116.9</v>
      </c>
      <c r="H125" s="62" t="s">
        <v>23</v>
      </c>
      <c r="I125" s="153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52"/>
      <c r="Z125" s="152"/>
      <c r="AA125" s="152"/>
      <c r="AB125" s="152"/>
      <c r="AC125" s="152"/>
      <c r="AD125" s="152"/>
      <c r="AE125" s="152"/>
      <c r="AF125" s="152"/>
      <c r="AG125" s="152"/>
      <c r="AH125" s="152"/>
      <c r="AI125" s="152"/>
      <c r="AJ125" s="152"/>
      <c r="AK125" s="152"/>
      <c r="AL125" s="152"/>
      <c r="AM125" s="152"/>
      <c r="AN125" s="152"/>
      <c r="AO125" s="152"/>
      <c r="AP125" s="152"/>
      <c r="AQ125" s="152"/>
      <c r="AR125" s="152"/>
      <c r="AS125" s="152"/>
      <c r="AT125" s="152"/>
      <c r="AU125" s="152"/>
      <c r="AV125" s="152"/>
      <c r="AW125" s="152"/>
      <c r="AX125" s="152"/>
      <c r="AY125" s="152"/>
      <c r="AZ125" s="152"/>
      <c r="BA125" s="152"/>
      <c r="BB125" s="152"/>
      <c r="BC125" s="152"/>
      <c r="BD125" s="152"/>
      <c r="BE125" s="152"/>
      <c r="BF125" s="152"/>
    </row>
    <row r="126" s="1" customFormat="1" customHeight="1" spans="1:58">
      <c r="A126" s="88"/>
      <c r="B126" s="89" t="s">
        <v>93</v>
      </c>
      <c r="C126" s="90">
        <v>200</v>
      </c>
      <c r="D126" s="91">
        <v>0.43</v>
      </c>
      <c r="E126" s="92">
        <v>0.02</v>
      </c>
      <c r="F126" s="93">
        <v>27.6</v>
      </c>
      <c r="G126" s="52">
        <f t="shared" si="27"/>
        <v>112.3</v>
      </c>
      <c r="H126" s="68" t="s">
        <v>117</v>
      </c>
      <c r="I126" s="8"/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  <c r="T126" s="152"/>
      <c r="U126" s="152"/>
      <c r="V126" s="152"/>
      <c r="W126" s="152"/>
      <c r="X126" s="152"/>
      <c r="Y126" s="152"/>
      <c r="Z126" s="152"/>
      <c r="AA126" s="152"/>
      <c r="AB126" s="152"/>
      <c r="AC126" s="152"/>
      <c r="AD126" s="152"/>
      <c r="AE126" s="152"/>
      <c r="AF126" s="152"/>
      <c r="AG126" s="152"/>
      <c r="AH126" s="152"/>
      <c r="AI126" s="152"/>
      <c r="AJ126" s="152"/>
      <c r="AK126" s="152"/>
      <c r="AL126" s="152"/>
      <c r="AM126" s="152"/>
      <c r="AN126" s="152"/>
      <c r="AO126" s="152"/>
      <c r="AP126" s="152"/>
      <c r="AQ126" s="152"/>
      <c r="AR126" s="152"/>
      <c r="AS126" s="152"/>
      <c r="AT126" s="152"/>
      <c r="AU126" s="152"/>
      <c r="AV126" s="152"/>
      <c r="AW126" s="152"/>
      <c r="AX126" s="152"/>
      <c r="AY126" s="152"/>
      <c r="AZ126" s="152"/>
      <c r="BA126" s="152"/>
      <c r="BB126" s="152"/>
      <c r="BC126" s="152"/>
      <c r="BD126" s="152"/>
      <c r="BE126" s="152"/>
      <c r="BF126" s="152"/>
    </row>
    <row r="127" s="1" customFormat="1" customHeight="1" spans="1:58">
      <c r="A127" s="126" t="s">
        <v>25</v>
      </c>
      <c r="B127" s="70"/>
      <c r="C127" s="182">
        <f>SUM(C122:C126)+100</f>
        <v>900</v>
      </c>
      <c r="D127" s="200">
        <f t="shared" ref="D127:G127" si="28">SUM(D122:D126)</f>
        <v>30.05</v>
      </c>
      <c r="E127" s="201">
        <f t="shared" si="28"/>
        <v>25.16</v>
      </c>
      <c r="F127" s="202">
        <f t="shared" si="28"/>
        <v>102.59</v>
      </c>
      <c r="G127" s="203">
        <f t="shared" si="28"/>
        <v>757</v>
      </c>
      <c r="H127" s="76"/>
      <c r="I127" s="8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  <c r="T127" s="152"/>
      <c r="U127" s="152"/>
      <c r="V127" s="152"/>
      <c r="W127" s="152"/>
      <c r="X127" s="152"/>
      <c r="Y127" s="152"/>
      <c r="Z127" s="152"/>
      <c r="AA127" s="152"/>
      <c r="AB127" s="152"/>
      <c r="AC127" s="152"/>
      <c r="AD127" s="152"/>
      <c r="AE127" s="152"/>
      <c r="AF127" s="152"/>
      <c r="AG127" s="152"/>
      <c r="AH127" s="152"/>
      <c r="AI127" s="152"/>
      <c r="AJ127" s="152"/>
      <c r="AK127" s="152"/>
      <c r="AL127" s="152"/>
      <c r="AM127" s="152"/>
      <c r="AN127" s="152"/>
      <c r="AO127" s="152"/>
      <c r="AP127" s="152"/>
      <c r="AQ127" s="152"/>
      <c r="AR127" s="152"/>
      <c r="AS127" s="152"/>
      <c r="AT127" s="152"/>
      <c r="AU127" s="152"/>
      <c r="AV127" s="152"/>
      <c r="AW127" s="152"/>
      <c r="AX127" s="152"/>
      <c r="AY127" s="152"/>
      <c r="AZ127" s="152"/>
      <c r="BA127" s="152"/>
      <c r="BB127" s="152"/>
      <c r="BC127" s="152"/>
      <c r="BD127" s="152"/>
      <c r="BE127" s="152"/>
      <c r="BF127" s="152"/>
    </row>
    <row r="128" s="1" customFormat="1" customHeight="1" spans="1:58">
      <c r="A128" s="128" t="s">
        <v>40</v>
      </c>
      <c r="B128" s="129"/>
      <c r="C128" s="164">
        <f>C127+C120</f>
        <v>1590</v>
      </c>
      <c r="D128" s="96">
        <f t="shared" ref="D128:G128" si="29">D127+D120</f>
        <v>53.4</v>
      </c>
      <c r="E128" s="97">
        <f t="shared" si="29"/>
        <v>41.91</v>
      </c>
      <c r="F128" s="98">
        <f t="shared" si="29"/>
        <v>190</v>
      </c>
      <c r="G128" s="99">
        <f t="shared" si="29"/>
        <v>1350.79</v>
      </c>
      <c r="H128" s="81"/>
      <c r="I128" s="8"/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  <c r="T128" s="152"/>
      <c r="U128" s="152"/>
      <c r="V128" s="152"/>
      <c r="W128" s="152"/>
      <c r="X128" s="152"/>
      <c r="Y128" s="152"/>
      <c r="Z128" s="152"/>
      <c r="AA128" s="152"/>
      <c r="AB128" s="152"/>
      <c r="AC128" s="152"/>
      <c r="AD128" s="152"/>
      <c r="AE128" s="152"/>
      <c r="AF128" s="152"/>
      <c r="AG128" s="152"/>
      <c r="AH128" s="152"/>
      <c r="AI128" s="152"/>
      <c r="AJ128" s="152"/>
      <c r="AK128" s="152"/>
      <c r="AL128" s="152"/>
      <c r="AM128" s="152"/>
      <c r="AN128" s="152"/>
      <c r="AO128" s="152"/>
      <c r="AP128" s="152"/>
      <c r="AQ128" s="152"/>
      <c r="AR128" s="152"/>
      <c r="AS128" s="152"/>
      <c r="AT128" s="152"/>
      <c r="AU128" s="152"/>
      <c r="AV128" s="152"/>
      <c r="AW128" s="152"/>
      <c r="AX128" s="152"/>
      <c r="AY128" s="152"/>
      <c r="AZ128" s="152"/>
      <c r="BA128" s="152"/>
      <c r="BB128" s="152"/>
      <c r="BC128" s="152"/>
      <c r="BD128" s="152"/>
      <c r="BE128" s="152"/>
      <c r="BF128" s="152"/>
    </row>
    <row r="129" s="1" customFormat="1" customHeight="1" spans="1:58">
      <c r="A129" s="100"/>
      <c r="B129" s="101"/>
      <c r="C129" s="106"/>
      <c r="D129" s="171"/>
      <c r="E129" s="171"/>
      <c r="F129" s="171"/>
      <c r="G129" s="171"/>
      <c r="H129" s="76"/>
      <c r="I129" s="8"/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  <c r="T129" s="152"/>
      <c r="U129" s="152"/>
      <c r="V129" s="152"/>
      <c r="W129" s="152"/>
      <c r="X129" s="152"/>
      <c r="Y129" s="152"/>
      <c r="Z129" s="152"/>
      <c r="AA129" s="152"/>
      <c r="AB129" s="152"/>
      <c r="AC129" s="152"/>
      <c r="AD129" s="152"/>
      <c r="AE129" s="152"/>
      <c r="AF129" s="152"/>
      <c r="AG129" s="152"/>
      <c r="AH129" s="152"/>
      <c r="AI129" s="152"/>
      <c r="AJ129" s="152"/>
      <c r="AK129" s="152"/>
      <c r="AL129" s="152"/>
      <c r="AM129" s="152"/>
      <c r="AN129" s="152"/>
      <c r="AO129" s="152"/>
      <c r="AP129" s="152"/>
      <c r="AQ129" s="152"/>
      <c r="AR129" s="152"/>
      <c r="AS129" s="152"/>
      <c r="AT129" s="152"/>
      <c r="AU129" s="152"/>
      <c r="AV129" s="152"/>
      <c r="AW129" s="152"/>
      <c r="AX129" s="152"/>
      <c r="AY129" s="152"/>
      <c r="AZ129" s="152"/>
      <c r="BA129" s="152"/>
      <c r="BB129" s="152"/>
      <c r="BC129" s="152"/>
      <c r="BD129" s="152"/>
      <c r="BE129" s="152"/>
      <c r="BF129" s="152"/>
    </row>
    <row r="130" ht="17.25" customHeight="1" spans="1:17">
      <c r="A130" s="134"/>
      <c r="B130" s="109" t="s">
        <v>41</v>
      </c>
      <c r="C130" s="109"/>
      <c r="D130" s="109"/>
      <c r="E130" s="109"/>
      <c r="F130" s="109"/>
      <c r="G130" s="109"/>
      <c r="H130" s="76"/>
      <c r="I130" s="8"/>
      <c r="J130" s="152"/>
      <c r="K130" s="3"/>
      <c r="L130" s="3"/>
      <c r="M130" s="3"/>
      <c r="N130" s="3"/>
      <c r="O130" s="3"/>
      <c r="P130" s="3"/>
      <c r="Q130" s="3"/>
    </row>
    <row r="131" ht="17.25" customHeight="1" spans="1:17">
      <c r="A131" s="172" t="s">
        <v>13</v>
      </c>
      <c r="B131" s="173"/>
      <c r="C131" s="110"/>
      <c r="D131" s="174"/>
      <c r="E131" s="174"/>
      <c r="F131" s="174"/>
      <c r="G131" s="174"/>
      <c r="H131" s="76"/>
      <c r="I131" s="8"/>
      <c r="J131" s="152"/>
      <c r="K131" s="3"/>
      <c r="L131" s="3"/>
      <c r="M131" s="3"/>
      <c r="N131" s="3"/>
      <c r="O131" s="3"/>
      <c r="P131" s="3"/>
      <c r="Q131" s="3"/>
    </row>
    <row r="132" s="1" customFormat="1" customHeight="1" spans="1:58">
      <c r="A132" s="175"/>
      <c r="B132" s="82" t="s">
        <v>80</v>
      </c>
      <c r="C132" s="83">
        <v>200</v>
      </c>
      <c r="D132" s="84">
        <v>21.62</v>
      </c>
      <c r="E132" s="85">
        <v>16.34</v>
      </c>
      <c r="F132" s="86">
        <v>24.19</v>
      </c>
      <c r="G132" s="52">
        <f t="shared" ref="G132:G136" si="30">(D132*4)+(E132*9)+(F132*4)</f>
        <v>330.3</v>
      </c>
      <c r="H132" s="53" t="s">
        <v>81</v>
      </c>
      <c r="I132" s="8"/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  <c r="T132" s="152"/>
      <c r="U132" s="152"/>
      <c r="V132" s="152"/>
      <c r="W132" s="152"/>
      <c r="X132" s="152"/>
      <c r="Y132" s="152"/>
      <c r="Z132" s="152"/>
      <c r="AA132" s="152"/>
      <c r="AB132" s="152"/>
      <c r="AC132" s="152"/>
      <c r="AD132" s="152"/>
      <c r="AE132" s="152"/>
      <c r="AF132" s="152"/>
      <c r="AG132" s="152"/>
      <c r="AH132" s="152"/>
      <c r="AI132" s="152"/>
      <c r="AJ132" s="152"/>
      <c r="AK132" s="152"/>
      <c r="AL132" s="152"/>
      <c r="AM132" s="152"/>
      <c r="AN132" s="152"/>
      <c r="AO132" s="152"/>
      <c r="AP132" s="152"/>
      <c r="AQ132" s="152"/>
      <c r="AR132" s="152"/>
      <c r="AS132" s="152"/>
      <c r="AT132" s="152"/>
      <c r="AU132" s="152"/>
      <c r="AV132" s="152"/>
      <c r="AW132" s="152"/>
      <c r="AX132" s="152"/>
      <c r="AY132" s="152"/>
      <c r="AZ132" s="152"/>
      <c r="BA132" s="152"/>
      <c r="BB132" s="152"/>
      <c r="BC132" s="152"/>
      <c r="BD132" s="152"/>
      <c r="BE132" s="152"/>
      <c r="BF132" s="152"/>
    </row>
    <row r="133" s="1" customFormat="1" customHeight="1" spans="1:58">
      <c r="A133" s="211"/>
      <c r="B133" s="55" t="s">
        <v>82</v>
      </c>
      <c r="C133" s="56">
        <v>30</v>
      </c>
      <c r="D133" s="57">
        <v>0.05</v>
      </c>
      <c r="E133" s="58">
        <v>0.01</v>
      </c>
      <c r="F133" s="59">
        <v>8.62</v>
      </c>
      <c r="G133" s="52">
        <f t="shared" si="30"/>
        <v>34.77</v>
      </c>
      <c r="H133" s="212" t="s">
        <v>118</v>
      </c>
      <c r="I133" s="8"/>
      <c r="J133" s="152"/>
      <c r="K133" s="152"/>
      <c r="L133" s="152"/>
      <c r="M133" s="152"/>
      <c r="N133" s="152"/>
      <c r="O133" s="152"/>
      <c r="P133" s="152"/>
      <c r="Q133" s="152"/>
      <c r="R133" s="152"/>
      <c r="S133" s="152"/>
      <c r="T133" s="152"/>
      <c r="U133" s="152"/>
      <c r="V133" s="152"/>
      <c r="W133" s="152"/>
      <c r="X133" s="152"/>
      <c r="Y133" s="152"/>
      <c r="Z133" s="152"/>
      <c r="AA133" s="152"/>
      <c r="AB133" s="152"/>
      <c r="AC133" s="152"/>
      <c r="AD133" s="152"/>
      <c r="AE133" s="152"/>
      <c r="AF133" s="152"/>
      <c r="AG133" s="152"/>
      <c r="AH133" s="152"/>
      <c r="AI133" s="152"/>
      <c r="AJ133" s="152"/>
      <c r="AK133" s="152"/>
      <c r="AL133" s="152"/>
      <c r="AM133" s="152"/>
      <c r="AN133" s="152"/>
      <c r="AO133" s="152"/>
      <c r="AP133" s="152"/>
      <c r="AQ133" s="152"/>
      <c r="AR133" s="152"/>
      <c r="AS133" s="152"/>
      <c r="AT133" s="152"/>
      <c r="AU133" s="152"/>
      <c r="AV133" s="152"/>
      <c r="AW133" s="152"/>
      <c r="AX133" s="152"/>
      <c r="AY133" s="152"/>
      <c r="AZ133" s="152"/>
      <c r="BA133" s="152"/>
      <c r="BB133" s="152"/>
      <c r="BC133" s="152"/>
      <c r="BD133" s="152"/>
      <c r="BE133" s="152"/>
      <c r="BF133" s="152"/>
    </row>
    <row r="134" s="1" customFormat="1" customHeight="1" spans="1:58">
      <c r="A134" s="211"/>
      <c r="B134" s="55" t="s">
        <v>68</v>
      </c>
      <c r="C134" s="56">
        <v>200</v>
      </c>
      <c r="D134" s="57">
        <v>0.06</v>
      </c>
      <c r="E134" s="58">
        <v>0.01</v>
      </c>
      <c r="F134" s="59">
        <v>12.19</v>
      </c>
      <c r="G134" s="52">
        <f t="shared" si="30"/>
        <v>49.09</v>
      </c>
      <c r="H134" s="212" t="s">
        <v>69</v>
      </c>
      <c r="I134" s="152"/>
      <c r="J134" s="152"/>
      <c r="K134" s="152"/>
      <c r="L134" s="152"/>
      <c r="M134" s="152"/>
      <c r="N134" s="152"/>
      <c r="O134" s="152"/>
      <c r="P134" s="152"/>
      <c r="Q134" s="152"/>
      <c r="R134" s="152"/>
      <c r="S134" s="152"/>
      <c r="T134" s="152"/>
      <c r="U134" s="152"/>
      <c r="V134" s="152"/>
      <c r="W134" s="152"/>
      <c r="X134" s="152"/>
      <c r="Y134" s="152"/>
      <c r="Z134" s="152"/>
      <c r="AA134" s="152"/>
      <c r="AB134" s="152"/>
      <c r="AC134" s="152"/>
      <c r="AD134" s="152"/>
      <c r="AE134" s="152"/>
      <c r="AF134" s="152"/>
      <c r="AG134" s="152"/>
      <c r="AH134" s="152"/>
      <c r="AI134" s="152"/>
      <c r="AJ134" s="152"/>
      <c r="AK134" s="152"/>
      <c r="AL134" s="152"/>
      <c r="AM134" s="152"/>
      <c r="AN134" s="152"/>
      <c r="AO134" s="152"/>
      <c r="AP134" s="152"/>
      <c r="AQ134" s="152"/>
      <c r="AR134" s="152"/>
      <c r="AS134" s="152"/>
      <c r="AT134" s="152"/>
      <c r="AU134" s="152"/>
      <c r="AV134" s="152"/>
      <c r="AW134" s="152"/>
      <c r="AX134" s="152"/>
      <c r="AY134" s="152"/>
      <c r="AZ134" s="152"/>
      <c r="BA134" s="152"/>
      <c r="BB134" s="152"/>
      <c r="BC134" s="152"/>
      <c r="BD134" s="152"/>
      <c r="BE134" s="152"/>
      <c r="BF134" s="152"/>
    </row>
    <row r="135" s="1" customFormat="1" customHeight="1" spans="1:58">
      <c r="A135" s="211"/>
      <c r="B135" s="55" t="s">
        <v>22</v>
      </c>
      <c r="C135" s="56">
        <v>50</v>
      </c>
      <c r="D135" s="57">
        <v>3.04</v>
      </c>
      <c r="E135" s="58">
        <v>0.36</v>
      </c>
      <c r="F135" s="59">
        <v>18.48</v>
      </c>
      <c r="G135" s="52">
        <f t="shared" si="30"/>
        <v>89.32</v>
      </c>
      <c r="H135" s="212" t="s">
        <v>23</v>
      </c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  <c r="T135" s="152"/>
      <c r="U135" s="152"/>
      <c r="V135" s="152"/>
      <c r="W135" s="152"/>
      <c r="X135" s="152"/>
      <c r="Y135" s="152"/>
      <c r="Z135" s="152"/>
      <c r="AA135" s="152"/>
      <c r="AB135" s="152"/>
      <c r="AC135" s="152"/>
      <c r="AD135" s="152"/>
      <c r="AE135" s="152"/>
      <c r="AF135" s="152"/>
      <c r="AG135" s="152"/>
      <c r="AH135" s="152"/>
      <c r="AI135" s="152"/>
      <c r="AJ135" s="152"/>
      <c r="AK135" s="152"/>
      <c r="AL135" s="152"/>
      <c r="AM135" s="152"/>
      <c r="AN135" s="152"/>
      <c r="AO135" s="152"/>
      <c r="AP135" s="152"/>
      <c r="AQ135" s="152"/>
      <c r="AR135" s="152"/>
      <c r="AS135" s="152"/>
      <c r="AT135" s="152"/>
      <c r="AU135" s="152"/>
      <c r="AV135" s="152"/>
      <c r="AW135" s="152"/>
      <c r="AX135" s="152"/>
      <c r="AY135" s="152"/>
      <c r="AZ135" s="152"/>
      <c r="BA135" s="152"/>
      <c r="BB135" s="152"/>
      <c r="BC135" s="152"/>
      <c r="BD135" s="152"/>
      <c r="BE135" s="152"/>
      <c r="BF135" s="152"/>
    </row>
    <row r="136" s="1" customFormat="1" customHeight="1" spans="1:58">
      <c r="A136" s="181"/>
      <c r="B136" s="89" t="s">
        <v>196</v>
      </c>
      <c r="C136" s="194">
        <v>150</v>
      </c>
      <c r="D136" s="91">
        <v>0.6</v>
      </c>
      <c r="E136" s="92">
        <v>0.6</v>
      </c>
      <c r="F136" s="93">
        <v>14.7</v>
      </c>
      <c r="G136" s="52">
        <f t="shared" si="30"/>
        <v>66.6</v>
      </c>
      <c r="H136" s="179" t="s">
        <v>23</v>
      </c>
      <c r="I136" s="8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  <c r="Y136" s="152"/>
      <c r="Z136" s="152"/>
      <c r="AA136" s="152"/>
      <c r="AB136" s="152"/>
      <c r="AC136" s="152"/>
      <c r="AD136" s="152"/>
      <c r="AE136" s="152"/>
      <c r="AF136" s="152"/>
      <c r="AG136" s="152"/>
      <c r="AH136" s="152"/>
      <c r="AI136" s="152"/>
      <c r="AJ136" s="152"/>
      <c r="AK136" s="152"/>
      <c r="AL136" s="152"/>
      <c r="AM136" s="152"/>
      <c r="AN136" s="152"/>
      <c r="AO136" s="152"/>
      <c r="AP136" s="152"/>
      <c r="AQ136" s="152"/>
      <c r="AR136" s="152"/>
      <c r="AS136" s="152"/>
      <c r="AT136" s="152"/>
      <c r="AU136" s="152"/>
      <c r="AV136" s="152"/>
      <c r="AW136" s="152"/>
      <c r="AX136" s="152"/>
      <c r="AY136" s="152"/>
      <c r="AZ136" s="152"/>
      <c r="BA136" s="152"/>
      <c r="BB136" s="152"/>
      <c r="BC136" s="152"/>
      <c r="BD136" s="152"/>
      <c r="BE136" s="152"/>
      <c r="BF136" s="152"/>
    </row>
    <row r="137" s="1" customFormat="1" customHeight="1" spans="1:58">
      <c r="A137" s="120" t="s">
        <v>25</v>
      </c>
      <c r="B137" s="141"/>
      <c r="C137" s="209">
        <f>SUM(C132:C136)+200+15+7</f>
        <v>852</v>
      </c>
      <c r="D137" s="143">
        <f t="shared" ref="D137:G137" si="31">SUM(D132:D136)</f>
        <v>25.37</v>
      </c>
      <c r="E137" s="144">
        <f t="shared" si="31"/>
        <v>17.32</v>
      </c>
      <c r="F137" s="145">
        <f t="shared" si="31"/>
        <v>78.18</v>
      </c>
      <c r="G137" s="146">
        <f t="shared" si="31"/>
        <v>570.08</v>
      </c>
      <c r="H137" s="180"/>
      <c r="I137" s="8"/>
      <c r="J137" s="152"/>
      <c r="K137" s="152"/>
      <c r="L137" s="152"/>
      <c r="M137" s="152"/>
      <c r="N137" s="152"/>
      <c r="O137" s="152"/>
      <c r="P137" s="152"/>
      <c r="Q137" s="152"/>
      <c r="R137" s="152"/>
      <c r="S137" s="152"/>
      <c r="T137" s="152"/>
      <c r="U137" s="152"/>
      <c r="V137" s="152"/>
      <c r="W137" s="152"/>
      <c r="X137" s="152"/>
      <c r="Y137" s="152"/>
      <c r="Z137" s="152"/>
      <c r="AA137" s="152"/>
      <c r="AB137" s="152"/>
      <c r="AC137" s="152"/>
      <c r="AD137" s="152"/>
      <c r="AE137" s="152"/>
      <c r="AF137" s="152"/>
      <c r="AG137" s="152"/>
      <c r="AH137" s="152"/>
      <c r="AI137" s="152"/>
      <c r="AJ137" s="152"/>
      <c r="AK137" s="152"/>
      <c r="AL137" s="152"/>
      <c r="AM137" s="152"/>
      <c r="AN137" s="152"/>
      <c r="AO137" s="152"/>
      <c r="AP137" s="152"/>
      <c r="AQ137" s="152"/>
      <c r="AR137" s="152"/>
      <c r="AS137" s="152"/>
      <c r="AT137" s="152"/>
      <c r="AU137" s="152"/>
      <c r="AV137" s="152"/>
      <c r="AW137" s="152"/>
      <c r="AX137" s="152"/>
      <c r="AY137" s="152"/>
      <c r="AZ137" s="152"/>
      <c r="BA137" s="152"/>
      <c r="BB137" s="152"/>
      <c r="BC137" s="152"/>
      <c r="BD137" s="152"/>
      <c r="BE137" s="152"/>
      <c r="BF137" s="152"/>
    </row>
    <row r="138" ht="17.25" customHeight="1" spans="1:17">
      <c r="A138" s="147" t="s">
        <v>26</v>
      </c>
      <c r="B138" s="124"/>
      <c r="C138" s="124"/>
      <c r="D138" s="79"/>
      <c r="E138" s="79"/>
      <c r="F138" s="80"/>
      <c r="G138" s="80"/>
      <c r="H138" s="180"/>
      <c r="I138" s="8"/>
      <c r="J138" s="153"/>
      <c r="K138" s="3"/>
      <c r="L138" s="3"/>
      <c r="M138" s="3"/>
      <c r="N138" s="3"/>
      <c r="O138" s="3"/>
      <c r="P138" s="3"/>
      <c r="Q138" s="3"/>
    </row>
    <row r="139" s="1" customFormat="1" customHeight="1" spans="1:58">
      <c r="A139" s="207"/>
      <c r="B139" s="82" t="s">
        <v>119</v>
      </c>
      <c r="C139" s="83">
        <v>250</v>
      </c>
      <c r="D139" s="84">
        <v>3.1</v>
      </c>
      <c r="E139" s="85">
        <v>4.5</v>
      </c>
      <c r="F139" s="86">
        <v>20.1</v>
      </c>
      <c r="G139" s="52">
        <f t="shared" ref="G139:G144" si="32">(D139*4)+(E139*9)+(F139*4)</f>
        <v>133.3</v>
      </c>
      <c r="H139" s="87" t="s">
        <v>120</v>
      </c>
      <c r="I139" s="8"/>
      <c r="J139" s="152"/>
      <c r="K139" s="152"/>
      <c r="L139" s="152"/>
      <c r="M139" s="152"/>
      <c r="N139" s="152"/>
      <c r="O139" s="152"/>
      <c r="P139" s="152"/>
      <c r="Q139" s="152"/>
      <c r="R139" s="152"/>
      <c r="S139" s="152"/>
      <c r="T139" s="152"/>
      <c r="U139" s="152"/>
      <c r="V139" s="152"/>
      <c r="W139" s="152"/>
      <c r="X139" s="152"/>
      <c r="Y139" s="152"/>
      <c r="Z139" s="152"/>
      <c r="AA139" s="152"/>
      <c r="AB139" s="152"/>
      <c r="AC139" s="152"/>
      <c r="AD139" s="152"/>
      <c r="AE139" s="152"/>
      <c r="AF139" s="152"/>
      <c r="AG139" s="152"/>
      <c r="AH139" s="152"/>
      <c r="AI139" s="152"/>
      <c r="AJ139" s="152"/>
      <c r="AK139" s="152"/>
      <c r="AL139" s="152"/>
      <c r="AM139" s="152"/>
      <c r="AN139" s="152"/>
      <c r="AO139" s="152"/>
      <c r="AP139" s="152"/>
      <c r="AQ139" s="152"/>
      <c r="AR139" s="152"/>
      <c r="AS139" s="152"/>
      <c r="AT139" s="152"/>
      <c r="AU139" s="152"/>
      <c r="AV139" s="152"/>
      <c r="AW139" s="152"/>
      <c r="AX139" s="152"/>
      <c r="AY139" s="152"/>
      <c r="AZ139" s="152"/>
      <c r="BA139" s="152"/>
      <c r="BB139" s="152"/>
      <c r="BC139" s="152"/>
      <c r="BD139" s="152"/>
      <c r="BE139" s="152"/>
      <c r="BF139" s="152"/>
    </row>
    <row r="140" s="1" customFormat="1" customHeight="1" spans="1:58">
      <c r="A140" s="61"/>
      <c r="B140" s="55" t="s">
        <v>197</v>
      </c>
      <c r="C140" s="56">
        <v>100</v>
      </c>
      <c r="D140" s="57">
        <v>11.2</v>
      </c>
      <c r="E140" s="58">
        <v>9.4</v>
      </c>
      <c r="F140" s="59">
        <v>7.3</v>
      </c>
      <c r="G140" s="52">
        <f t="shared" si="32"/>
        <v>158.6</v>
      </c>
      <c r="H140" s="62" t="s">
        <v>122</v>
      </c>
      <c r="I140" s="8"/>
      <c r="J140" s="152"/>
      <c r="K140" s="152"/>
      <c r="L140" s="152"/>
      <c r="M140" s="152"/>
      <c r="N140" s="152"/>
      <c r="O140" s="152"/>
      <c r="P140" s="152"/>
      <c r="Q140" s="152"/>
      <c r="R140" s="152"/>
      <c r="S140" s="152"/>
      <c r="T140" s="152"/>
      <c r="U140" s="152"/>
      <c r="V140" s="152"/>
      <c r="W140" s="152"/>
      <c r="X140" s="152"/>
      <c r="Y140" s="152"/>
      <c r="Z140" s="152"/>
      <c r="AA140" s="152"/>
      <c r="AB140" s="152"/>
      <c r="AC140" s="152"/>
      <c r="AD140" s="152"/>
      <c r="AE140" s="152"/>
      <c r="AF140" s="152"/>
      <c r="AG140" s="152"/>
      <c r="AH140" s="152"/>
      <c r="AI140" s="152"/>
      <c r="AJ140" s="152"/>
      <c r="AK140" s="152"/>
      <c r="AL140" s="152"/>
      <c r="AM140" s="152"/>
      <c r="AN140" s="152"/>
      <c r="AO140" s="152"/>
      <c r="AP140" s="152"/>
      <c r="AQ140" s="152"/>
      <c r="AR140" s="152"/>
      <c r="AS140" s="152"/>
      <c r="AT140" s="152"/>
      <c r="AU140" s="152"/>
      <c r="AV140" s="152"/>
      <c r="AW140" s="152"/>
      <c r="AX140" s="152"/>
      <c r="AY140" s="152"/>
      <c r="AZ140" s="152"/>
      <c r="BA140" s="152"/>
      <c r="BB140" s="152"/>
      <c r="BC140" s="152"/>
      <c r="BD140" s="152"/>
      <c r="BE140" s="152"/>
      <c r="BF140" s="152"/>
    </row>
    <row r="141" s="1" customFormat="1" customHeight="1" spans="1:58">
      <c r="A141" s="61"/>
      <c r="B141" s="55" t="s">
        <v>52</v>
      </c>
      <c r="C141" s="56">
        <v>200</v>
      </c>
      <c r="D141" s="57">
        <v>6.5</v>
      </c>
      <c r="E141" s="58">
        <v>4.8</v>
      </c>
      <c r="F141" s="59">
        <v>38.8</v>
      </c>
      <c r="G141" s="52">
        <f t="shared" si="32"/>
        <v>224.4</v>
      </c>
      <c r="H141" s="62" t="s">
        <v>99</v>
      </c>
      <c r="I141" s="8"/>
      <c r="J141" s="152"/>
      <c r="K141" s="152"/>
      <c r="L141" s="152"/>
      <c r="M141" s="152"/>
      <c r="N141" s="152"/>
      <c r="O141" s="152"/>
      <c r="P141" s="152"/>
      <c r="Q141" s="152"/>
      <c r="R141" s="152"/>
      <c r="S141" s="152"/>
      <c r="T141" s="152"/>
      <c r="U141" s="152"/>
      <c r="V141" s="152"/>
      <c r="W141" s="152"/>
      <c r="X141" s="152"/>
      <c r="Y141" s="152"/>
      <c r="Z141" s="152"/>
      <c r="AA141" s="152"/>
      <c r="AB141" s="152"/>
      <c r="AC141" s="152"/>
      <c r="AD141" s="152"/>
      <c r="AE141" s="152"/>
      <c r="AF141" s="152"/>
      <c r="AG141" s="152"/>
      <c r="AH141" s="152"/>
      <c r="AI141" s="152"/>
      <c r="AJ141" s="152"/>
      <c r="AK141" s="152"/>
      <c r="AL141" s="152"/>
      <c r="AM141" s="152"/>
      <c r="AN141" s="152"/>
      <c r="AO141" s="152"/>
      <c r="AP141" s="152"/>
      <c r="AQ141" s="152"/>
      <c r="AR141" s="152"/>
      <c r="AS141" s="152"/>
      <c r="AT141" s="152"/>
      <c r="AU141" s="152"/>
      <c r="AV141" s="152"/>
      <c r="AW141" s="152"/>
      <c r="AX141" s="152"/>
      <c r="AY141" s="152"/>
      <c r="AZ141" s="152"/>
      <c r="BA141" s="152"/>
      <c r="BB141" s="152"/>
      <c r="BC141" s="152"/>
      <c r="BD141" s="152"/>
      <c r="BE141" s="152"/>
      <c r="BF141" s="152"/>
    </row>
    <row r="142" s="1" customFormat="1" customHeight="1" spans="1:58">
      <c r="A142" s="61"/>
      <c r="B142" s="55" t="s">
        <v>44</v>
      </c>
      <c r="C142" s="56">
        <v>100</v>
      </c>
      <c r="D142" s="57">
        <v>0.93</v>
      </c>
      <c r="E142" s="58">
        <v>0.06</v>
      </c>
      <c r="F142" s="59">
        <v>1.95</v>
      </c>
      <c r="G142" s="52">
        <f t="shared" si="32"/>
        <v>12.06</v>
      </c>
      <c r="H142" s="62" t="s">
        <v>45</v>
      </c>
      <c r="I142" s="153"/>
      <c r="J142" s="152"/>
      <c r="K142" s="152"/>
      <c r="L142" s="152"/>
      <c r="M142" s="152"/>
      <c r="N142" s="152"/>
      <c r="O142" s="152"/>
      <c r="P142" s="152"/>
      <c r="Q142" s="152"/>
      <c r="R142" s="152"/>
      <c r="S142" s="152"/>
      <c r="T142" s="152"/>
      <c r="U142" s="152"/>
      <c r="V142" s="152"/>
      <c r="W142" s="152"/>
      <c r="X142" s="152"/>
      <c r="Y142" s="152"/>
      <c r="Z142" s="152"/>
      <c r="AA142" s="152"/>
      <c r="AB142" s="152"/>
      <c r="AC142" s="152"/>
      <c r="AD142" s="152"/>
      <c r="AE142" s="152"/>
      <c r="AF142" s="152"/>
      <c r="AG142" s="152"/>
      <c r="AH142" s="152"/>
      <c r="AI142" s="152"/>
      <c r="AJ142" s="152"/>
      <c r="AK142" s="152"/>
      <c r="AL142" s="152"/>
      <c r="AM142" s="152"/>
      <c r="AN142" s="152"/>
      <c r="AO142" s="152"/>
      <c r="AP142" s="152"/>
      <c r="AQ142" s="152"/>
      <c r="AR142" s="152"/>
      <c r="AS142" s="152"/>
      <c r="AT142" s="152"/>
      <c r="AU142" s="152"/>
      <c r="AV142" s="152"/>
      <c r="AW142" s="152"/>
      <c r="AX142" s="152"/>
      <c r="AY142" s="152"/>
      <c r="AZ142" s="152"/>
      <c r="BA142" s="152"/>
      <c r="BB142" s="152"/>
      <c r="BC142" s="152"/>
      <c r="BD142" s="152"/>
      <c r="BE142" s="152"/>
      <c r="BF142" s="152"/>
    </row>
    <row r="143" s="1" customFormat="1" customHeight="1" spans="1:58">
      <c r="A143" s="61"/>
      <c r="B143" s="55" t="s">
        <v>36</v>
      </c>
      <c r="C143" s="56" t="s">
        <v>37</v>
      </c>
      <c r="D143" s="57">
        <v>2.37</v>
      </c>
      <c r="E143" s="58">
        <v>0.3</v>
      </c>
      <c r="F143" s="59">
        <v>14.49</v>
      </c>
      <c r="G143" s="52">
        <f t="shared" si="32"/>
        <v>70.14</v>
      </c>
      <c r="H143" s="62" t="s">
        <v>23</v>
      </c>
      <c r="I143" s="8"/>
      <c r="J143" s="152"/>
      <c r="K143" s="152"/>
      <c r="L143" s="152"/>
      <c r="M143" s="152"/>
      <c r="N143" s="152"/>
      <c r="O143" s="152"/>
      <c r="P143" s="152"/>
      <c r="Q143" s="152"/>
      <c r="R143" s="152"/>
      <c r="S143" s="152"/>
      <c r="T143" s="152"/>
      <c r="U143" s="152"/>
      <c r="V143" s="152"/>
      <c r="W143" s="152"/>
      <c r="X143" s="152"/>
      <c r="Y143" s="152"/>
      <c r="Z143" s="152"/>
      <c r="AA143" s="152"/>
      <c r="AB143" s="152"/>
      <c r="AC143" s="152"/>
      <c r="AD143" s="152"/>
      <c r="AE143" s="152"/>
      <c r="AF143" s="152"/>
      <c r="AG143" s="152"/>
      <c r="AH143" s="152"/>
      <c r="AI143" s="152"/>
      <c r="AJ143" s="152"/>
      <c r="AK143" s="152"/>
      <c r="AL143" s="152"/>
      <c r="AM143" s="152"/>
      <c r="AN143" s="152"/>
      <c r="AO143" s="152"/>
      <c r="AP143" s="152"/>
      <c r="AQ143" s="152"/>
      <c r="AR143" s="152"/>
      <c r="AS143" s="152"/>
      <c r="AT143" s="152"/>
      <c r="AU143" s="152"/>
      <c r="AV143" s="152"/>
      <c r="AW143" s="152"/>
      <c r="AX143" s="152"/>
      <c r="AY143" s="152"/>
      <c r="AZ143" s="152"/>
      <c r="BA143" s="152"/>
      <c r="BB143" s="152"/>
      <c r="BC143" s="152"/>
      <c r="BD143" s="152"/>
      <c r="BE143" s="152"/>
      <c r="BF143" s="152"/>
    </row>
    <row r="144" s="1" customFormat="1" customHeight="1" spans="1:58">
      <c r="A144" s="88"/>
      <c r="B144" s="89" t="s">
        <v>38</v>
      </c>
      <c r="C144" s="90">
        <v>200</v>
      </c>
      <c r="D144" s="91">
        <v>0.4</v>
      </c>
      <c r="E144" s="92">
        <v>0.02</v>
      </c>
      <c r="F144" s="93">
        <v>22.9</v>
      </c>
      <c r="G144" s="52">
        <f t="shared" si="32"/>
        <v>93.38</v>
      </c>
      <c r="H144" s="68" t="s">
        <v>123</v>
      </c>
      <c r="I144" s="8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52"/>
      <c r="Y144" s="152"/>
      <c r="Z144" s="152"/>
      <c r="AA144" s="152"/>
      <c r="AB144" s="152"/>
      <c r="AC144" s="152"/>
      <c r="AD144" s="152"/>
      <c r="AE144" s="152"/>
      <c r="AF144" s="152"/>
      <c r="AG144" s="152"/>
      <c r="AH144" s="152"/>
      <c r="AI144" s="152"/>
      <c r="AJ144" s="152"/>
      <c r="AK144" s="152"/>
      <c r="AL144" s="152"/>
      <c r="AM144" s="152"/>
      <c r="AN144" s="152"/>
      <c r="AO144" s="152"/>
      <c r="AP144" s="152"/>
      <c r="AQ144" s="152"/>
      <c r="AR144" s="152"/>
      <c r="AS144" s="152"/>
      <c r="AT144" s="152"/>
      <c r="AU144" s="152"/>
      <c r="AV144" s="152"/>
      <c r="AW144" s="152"/>
      <c r="AX144" s="152"/>
      <c r="AY144" s="152"/>
      <c r="AZ144" s="152"/>
      <c r="BA144" s="152"/>
      <c r="BB144" s="152"/>
      <c r="BC144" s="152"/>
      <c r="BD144" s="152"/>
      <c r="BE144" s="152"/>
      <c r="BF144" s="152"/>
    </row>
    <row r="145" s="1" customFormat="1" customHeight="1" spans="1:58">
      <c r="A145" s="126" t="s">
        <v>25</v>
      </c>
      <c r="B145" s="70"/>
      <c r="C145" s="182">
        <f>SUM(C139:C144)+100</f>
        <v>950</v>
      </c>
      <c r="D145" s="200">
        <f t="shared" ref="D145:G145" si="33">SUM(D139:D144)</f>
        <v>24.5</v>
      </c>
      <c r="E145" s="201">
        <f t="shared" si="33"/>
        <v>19.08</v>
      </c>
      <c r="F145" s="202">
        <f t="shared" si="33"/>
        <v>105.54</v>
      </c>
      <c r="G145" s="203">
        <f t="shared" si="33"/>
        <v>691.88</v>
      </c>
      <c r="H145" s="81"/>
      <c r="I145" s="8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52"/>
      <c r="Y145" s="152"/>
      <c r="Z145" s="152"/>
      <c r="AA145" s="152"/>
      <c r="AB145" s="152"/>
      <c r="AC145" s="152"/>
      <c r="AD145" s="152"/>
      <c r="AE145" s="152"/>
      <c r="AF145" s="152"/>
      <c r="AG145" s="152"/>
      <c r="AH145" s="152"/>
      <c r="AI145" s="152"/>
      <c r="AJ145" s="152"/>
      <c r="AK145" s="152"/>
      <c r="AL145" s="152"/>
      <c r="AM145" s="152"/>
      <c r="AN145" s="152"/>
      <c r="AO145" s="152"/>
      <c r="AP145" s="152"/>
      <c r="AQ145" s="152"/>
      <c r="AR145" s="152"/>
      <c r="AS145" s="152"/>
      <c r="AT145" s="152"/>
      <c r="AU145" s="152"/>
      <c r="AV145" s="152"/>
      <c r="AW145" s="152"/>
      <c r="AX145" s="152"/>
      <c r="AY145" s="152"/>
      <c r="AZ145" s="152"/>
      <c r="BA145" s="152"/>
      <c r="BB145" s="152"/>
      <c r="BC145" s="152"/>
      <c r="BD145" s="152"/>
      <c r="BE145" s="152"/>
      <c r="BF145" s="152"/>
    </row>
    <row r="146" s="1" customFormat="1" customHeight="1" spans="1:58">
      <c r="A146" s="128" t="s">
        <v>40</v>
      </c>
      <c r="B146" s="129"/>
      <c r="C146" s="95">
        <f>C145+C137</f>
        <v>1802</v>
      </c>
      <c r="D146" s="96">
        <f t="shared" ref="D146:G146" si="34">D145+D137</f>
        <v>49.87</v>
      </c>
      <c r="E146" s="97">
        <f t="shared" si="34"/>
        <v>36.4</v>
      </c>
      <c r="F146" s="98">
        <f t="shared" si="34"/>
        <v>183.72</v>
      </c>
      <c r="G146" s="99">
        <f t="shared" si="34"/>
        <v>1261.96</v>
      </c>
      <c r="H146" s="76"/>
      <c r="I146" s="8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52"/>
      <c r="Y146" s="152"/>
      <c r="Z146" s="152"/>
      <c r="AA146" s="152"/>
      <c r="AB146" s="152"/>
      <c r="AC146" s="152"/>
      <c r="AD146" s="152"/>
      <c r="AE146" s="152"/>
      <c r="AF146" s="152"/>
      <c r="AG146" s="152"/>
      <c r="AH146" s="152"/>
      <c r="AI146" s="152"/>
      <c r="AJ146" s="152"/>
      <c r="AK146" s="152"/>
      <c r="AL146" s="152"/>
      <c r="AM146" s="152"/>
      <c r="AN146" s="152"/>
      <c r="AO146" s="152"/>
      <c r="AP146" s="152"/>
      <c r="AQ146" s="152"/>
      <c r="AR146" s="152"/>
      <c r="AS146" s="152"/>
      <c r="AT146" s="152"/>
      <c r="AU146" s="152"/>
      <c r="AV146" s="152"/>
      <c r="AW146" s="152"/>
      <c r="AX146" s="152"/>
      <c r="AY146" s="152"/>
      <c r="AZ146" s="152"/>
      <c r="BA146" s="152"/>
      <c r="BB146" s="152"/>
      <c r="BC146" s="152"/>
      <c r="BD146" s="152"/>
      <c r="BE146" s="152"/>
      <c r="BF146" s="152"/>
    </row>
    <row r="147" s="1" customFormat="1" customHeight="1" spans="1:58">
      <c r="A147" s="100"/>
      <c r="B147" s="101"/>
      <c r="C147" s="106"/>
      <c r="D147" s="171"/>
      <c r="E147" s="171"/>
      <c r="F147" s="171"/>
      <c r="G147" s="171"/>
      <c r="H147" s="76"/>
      <c r="I147" s="8"/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  <c r="T147" s="152"/>
      <c r="U147" s="152"/>
      <c r="V147" s="152"/>
      <c r="W147" s="152"/>
      <c r="X147" s="152"/>
      <c r="Y147" s="152"/>
      <c r="Z147" s="152"/>
      <c r="AA147" s="152"/>
      <c r="AB147" s="152"/>
      <c r="AC147" s="152"/>
      <c r="AD147" s="152"/>
      <c r="AE147" s="152"/>
      <c r="AF147" s="152"/>
      <c r="AG147" s="152"/>
      <c r="AH147" s="152"/>
      <c r="AI147" s="152"/>
      <c r="AJ147" s="152"/>
      <c r="AK147" s="152"/>
      <c r="AL147" s="152"/>
      <c r="AM147" s="152"/>
      <c r="AN147" s="152"/>
      <c r="AO147" s="152"/>
      <c r="AP147" s="152"/>
      <c r="AQ147" s="152"/>
      <c r="AR147" s="152"/>
      <c r="AS147" s="152"/>
      <c r="AT147" s="152"/>
      <c r="AU147" s="152"/>
      <c r="AV147" s="152"/>
      <c r="AW147" s="152"/>
      <c r="AX147" s="152"/>
      <c r="AY147" s="152"/>
      <c r="AZ147" s="152"/>
      <c r="BA147" s="152"/>
      <c r="BB147" s="152"/>
      <c r="BC147" s="152"/>
      <c r="BD147" s="152"/>
      <c r="BE147" s="152"/>
      <c r="BF147" s="152"/>
    </row>
    <row r="148" ht="17.25" customHeight="1" spans="1:17">
      <c r="A148" s="213"/>
      <c r="B148" s="109" t="s">
        <v>58</v>
      </c>
      <c r="C148" s="109"/>
      <c r="D148" s="109"/>
      <c r="E148" s="109"/>
      <c r="F148" s="109"/>
      <c r="G148" s="109"/>
      <c r="H148" s="76"/>
      <c r="I148" s="8"/>
      <c r="J148" s="7"/>
      <c r="K148" s="3"/>
      <c r="L148" s="3"/>
      <c r="M148" s="3"/>
      <c r="N148" s="3"/>
      <c r="O148" s="3"/>
      <c r="P148" s="3"/>
      <c r="Q148" s="3"/>
    </row>
    <row r="149" ht="17.25" customHeight="1" spans="1:17">
      <c r="A149" s="172" t="s">
        <v>13</v>
      </c>
      <c r="B149" s="173"/>
      <c r="C149" s="110"/>
      <c r="D149" s="174"/>
      <c r="E149" s="174"/>
      <c r="F149" s="174"/>
      <c r="G149" s="174"/>
      <c r="H149" s="76"/>
      <c r="I149" s="8"/>
      <c r="J149" s="7"/>
      <c r="K149" s="3"/>
      <c r="L149" s="3"/>
      <c r="M149" s="3"/>
      <c r="N149" s="3"/>
      <c r="O149" s="3"/>
      <c r="P149" s="3"/>
      <c r="Q149" s="3"/>
    </row>
    <row r="150" s="1" customFormat="1" customHeight="1" spans="1:58">
      <c r="A150" s="196"/>
      <c r="B150" s="176" t="s">
        <v>198</v>
      </c>
      <c r="C150" s="83">
        <v>100</v>
      </c>
      <c r="D150" s="84">
        <v>0.1</v>
      </c>
      <c r="E150" s="85">
        <v>0.03</v>
      </c>
      <c r="F150" s="86">
        <v>1.1</v>
      </c>
      <c r="G150" s="52">
        <f t="shared" ref="G150:G154" si="35">(D150*4)+(E150*9)+(F150*4)</f>
        <v>5.07</v>
      </c>
      <c r="H150" s="197" t="s">
        <v>65</v>
      </c>
      <c r="I150" s="8"/>
      <c r="J150" s="152"/>
      <c r="K150" s="152"/>
      <c r="L150" s="152"/>
      <c r="M150" s="152"/>
      <c r="N150" s="152"/>
      <c r="O150" s="152"/>
      <c r="P150" s="152"/>
      <c r="Q150" s="152"/>
      <c r="R150" s="152"/>
      <c r="S150" s="152"/>
      <c r="T150" s="152"/>
      <c r="U150" s="152"/>
      <c r="V150" s="152"/>
      <c r="W150" s="152"/>
      <c r="X150" s="152"/>
      <c r="Y150" s="152"/>
      <c r="Z150" s="152"/>
      <c r="AA150" s="152"/>
      <c r="AB150" s="152"/>
      <c r="AC150" s="152"/>
      <c r="AD150" s="152"/>
      <c r="AE150" s="152"/>
      <c r="AF150" s="152"/>
      <c r="AG150" s="152"/>
      <c r="AH150" s="152"/>
      <c r="AI150" s="152"/>
      <c r="AJ150" s="152"/>
      <c r="AK150" s="152"/>
      <c r="AL150" s="152"/>
      <c r="AM150" s="152"/>
      <c r="AN150" s="152"/>
      <c r="AO150" s="152"/>
      <c r="AP150" s="152"/>
      <c r="AQ150" s="152"/>
      <c r="AR150" s="152"/>
      <c r="AS150" s="152"/>
      <c r="AT150" s="152"/>
      <c r="AU150" s="152"/>
      <c r="AV150" s="152"/>
      <c r="AW150" s="152"/>
      <c r="AX150" s="152"/>
      <c r="AY150" s="152"/>
      <c r="AZ150" s="152"/>
      <c r="BA150" s="152"/>
      <c r="BB150" s="152"/>
      <c r="BC150" s="152"/>
      <c r="BD150" s="152"/>
      <c r="BE150" s="152"/>
      <c r="BF150" s="152"/>
    </row>
    <row r="151" s="1" customFormat="1" customHeight="1" spans="1:58">
      <c r="A151" s="61"/>
      <c r="B151" s="55" t="s">
        <v>199</v>
      </c>
      <c r="C151" s="56">
        <v>200</v>
      </c>
      <c r="D151" s="57">
        <v>21.58</v>
      </c>
      <c r="E151" s="58">
        <v>8.71</v>
      </c>
      <c r="F151" s="59">
        <v>38.57</v>
      </c>
      <c r="G151" s="52">
        <f t="shared" si="35"/>
        <v>318.99</v>
      </c>
      <c r="H151" s="62" t="s">
        <v>125</v>
      </c>
      <c r="I151" s="8"/>
      <c r="J151" s="152"/>
      <c r="K151" s="152"/>
      <c r="L151" s="152"/>
      <c r="M151" s="152"/>
      <c r="N151" s="152"/>
      <c r="O151" s="152"/>
      <c r="P151" s="152"/>
      <c r="Q151" s="152"/>
      <c r="R151" s="152"/>
      <c r="S151" s="152"/>
      <c r="T151" s="152"/>
      <c r="U151" s="152"/>
      <c r="V151" s="152"/>
      <c r="W151" s="152"/>
      <c r="X151" s="152"/>
      <c r="Y151" s="152"/>
      <c r="Z151" s="152"/>
      <c r="AA151" s="152"/>
      <c r="AB151" s="152"/>
      <c r="AC151" s="152"/>
      <c r="AD151" s="152"/>
      <c r="AE151" s="152"/>
      <c r="AF151" s="152"/>
      <c r="AG151" s="152"/>
      <c r="AH151" s="152"/>
      <c r="AI151" s="152"/>
      <c r="AJ151" s="152"/>
      <c r="AK151" s="152"/>
      <c r="AL151" s="152"/>
      <c r="AM151" s="152"/>
      <c r="AN151" s="152"/>
      <c r="AO151" s="152"/>
      <c r="AP151" s="152"/>
      <c r="AQ151" s="152"/>
      <c r="AR151" s="152"/>
      <c r="AS151" s="152"/>
      <c r="AT151" s="152"/>
      <c r="AU151" s="152"/>
      <c r="AV151" s="152"/>
      <c r="AW151" s="152"/>
      <c r="AX151" s="152"/>
      <c r="AY151" s="152"/>
      <c r="AZ151" s="152"/>
      <c r="BA151" s="152"/>
      <c r="BB151" s="152"/>
      <c r="BC151" s="152"/>
      <c r="BD151" s="152"/>
      <c r="BE151" s="152"/>
      <c r="BF151" s="152"/>
    </row>
    <row r="152" s="1" customFormat="1" customHeight="1" spans="1:58">
      <c r="A152" s="61"/>
      <c r="B152" s="177" t="s">
        <v>200</v>
      </c>
      <c r="C152" s="56">
        <v>30</v>
      </c>
      <c r="D152" s="57">
        <v>0.57</v>
      </c>
      <c r="E152" s="58">
        <v>1.23</v>
      </c>
      <c r="F152" s="59">
        <v>2.26</v>
      </c>
      <c r="G152" s="52">
        <f t="shared" si="35"/>
        <v>22.39</v>
      </c>
      <c r="H152" s="62" t="s">
        <v>201</v>
      </c>
      <c r="I152" s="8"/>
      <c r="J152" s="152"/>
      <c r="K152" s="152"/>
      <c r="L152" s="152"/>
      <c r="M152" s="152"/>
      <c r="N152" s="152"/>
      <c r="O152" s="152"/>
      <c r="P152" s="152"/>
      <c r="Q152" s="152"/>
      <c r="R152" s="152"/>
      <c r="S152" s="152"/>
      <c r="T152" s="152"/>
      <c r="U152" s="152"/>
      <c r="V152" s="152"/>
      <c r="W152" s="152"/>
      <c r="X152" s="152"/>
      <c r="Y152" s="152"/>
      <c r="Z152" s="152"/>
      <c r="AA152" s="152"/>
      <c r="AB152" s="152"/>
      <c r="AC152" s="152"/>
      <c r="AD152" s="152"/>
      <c r="AE152" s="152"/>
      <c r="AF152" s="152"/>
      <c r="AG152" s="152"/>
      <c r="AH152" s="152"/>
      <c r="AI152" s="152"/>
      <c r="AJ152" s="152"/>
      <c r="AK152" s="152"/>
      <c r="AL152" s="152"/>
      <c r="AM152" s="152"/>
      <c r="AN152" s="152"/>
      <c r="AO152" s="152"/>
      <c r="AP152" s="152"/>
      <c r="AQ152" s="152"/>
      <c r="AR152" s="152"/>
      <c r="AS152" s="152"/>
      <c r="AT152" s="152"/>
      <c r="AU152" s="152"/>
      <c r="AV152" s="152"/>
      <c r="AW152" s="152"/>
      <c r="AX152" s="152"/>
      <c r="AY152" s="152"/>
      <c r="AZ152" s="152"/>
      <c r="BA152" s="152"/>
      <c r="BB152" s="152"/>
      <c r="BC152" s="152"/>
      <c r="BD152" s="152"/>
      <c r="BE152" s="152"/>
      <c r="BF152" s="152"/>
    </row>
    <row r="153" s="1" customFormat="1" customHeight="1" spans="1:58">
      <c r="A153" s="61"/>
      <c r="B153" s="177" t="s">
        <v>84</v>
      </c>
      <c r="C153" s="56">
        <v>200</v>
      </c>
      <c r="D153" s="57">
        <v>5.71</v>
      </c>
      <c r="E153" s="58">
        <v>4.8</v>
      </c>
      <c r="F153" s="59">
        <v>20.82</v>
      </c>
      <c r="G153" s="52">
        <f t="shared" si="35"/>
        <v>149.32</v>
      </c>
      <c r="H153" s="62" t="s">
        <v>127</v>
      </c>
      <c r="I153" s="8"/>
      <c r="J153" s="152"/>
      <c r="K153" s="152"/>
      <c r="L153" s="152"/>
      <c r="M153" s="152"/>
      <c r="N153" s="152"/>
      <c r="O153" s="152"/>
      <c r="P153" s="152"/>
      <c r="Q153" s="152"/>
      <c r="R153" s="152"/>
      <c r="S153" s="152"/>
      <c r="T153" s="152"/>
      <c r="U153" s="152"/>
      <c r="V153" s="152"/>
      <c r="W153" s="152"/>
      <c r="X153" s="152"/>
      <c r="Y153" s="152"/>
      <c r="Z153" s="152"/>
      <c r="AA153" s="152"/>
      <c r="AB153" s="152"/>
      <c r="AC153" s="152"/>
      <c r="AD153" s="152"/>
      <c r="AE153" s="152"/>
      <c r="AF153" s="152"/>
      <c r="AG153" s="152"/>
      <c r="AH153" s="152"/>
      <c r="AI153" s="152"/>
      <c r="AJ153" s="152"/>
      <c r="AK153" s="152"/>
      <c r="AL153" s="152"/>
      <c r="AM153" s="152"/>
      <c r="AN153" s="152"/>
      <c r="AO153" s="152"/>
      <c r="AP153" s="152"/>
      <c r="AQ153" s="152"/>
      <c r="AR153" s="152"/>
      <c r="AS153" s="152"/>
      <c r="AT153" s="152"/>
      <c r="AU153" s="152"/>
      <c r="AV153" s="152"/>
      <c r="AW153" s="152"/>
      <c r="AX153" s="152"/>
      <c r="AY153" s="152"/>
      <c r="AZ153" s="152"/>
      <c r="BA153" s="152"/>
      <c r="BB153" s="152"/>
      <c r="BC153" s="152"/>
      <c r="BD153" s="152"/>
      <c r="BE153" s="152"/>
      <c r="BF153" s="152"/>
    </row>
    <row r="154" s="1" customFormat="1" customHeight="1" spans="1:58">
      <c r="A154" s="88"/>
      <c r="B154" s="178" t="s">
        <v>22</v>
      </c>
      <c r="C154" s="194">
        <v>50</v>
      </c>
      <c r="D154" s="91">
        <v>1.58</v>
      </c>
      <c r="E154" s="92">
        <v>0.2</v>
      </c>
      <c r="F154" s="93">
        <v>9.66</v>
      </c>
      <c r="G154" s="52">
        <f t="shared" si="35"/>
        <v>46.76</v>
      </c>
      <c r="H154" s="68" t="s">
        <v>23</v>
      </c>
      <c r="I154" s="8" t="s">
        <v>128</v>
      </c>
      <c r="J154" s="152"/>
      <c r="K154" s="152"/>
      <c r="L154" s="152"/>
      <c r="M154" s="152"/>
      <c r="N154" s="152"/>
      <c r="O154" s="152"/>
      <c r="P154" s="152"/>
      <c r="Q154" s="152"/>
      <c r="R154" s="152"/>
      <c r="S154" s="152"/>
      <c r="T154" s="152"/>
      <c r="U154" s="152"/>
      <c r="V154" s="152"/>
      <c r="W154" s="152"/>
      <c r="X154" s="152"/>
      <c r="Y154" s="152"/>
      <c r="Z154" s="152"/>
      <c r="AA154" s="152"/>
      <c r="AB154" s="152"/>
      <c r="AC154" s="152"/>
      <c r="AD154" s="152"/>
      <c r="AE154" s="152"/>
      <c r="AF154" s="152"/>
      <c r="AG154" s="152"/>
      <c r="AH154" s="152"/>
      <c r="AI154" s="152"/>
      <c r="AJ154" s="152"/>
      <c r="AK154" s="152"/>
      <c r="AL154" s="152"/>
      <c r="AM154" s="152"/>
      <c r="AN154" s="152"/>
      <c r="AO154" s="152"/>
      <c r="AP154" s="152"/>
      <c r="AQ154" s="152"/>
      <c r="AR154" s="152"/>
      <c r="AS154" s="152"/>
      <c r="AT154" s="152"/>
      <c r="AU154" s="152"/>
      <c r="AV154" s="152"/>
      <c r="AW154" s="152"/>
      <c r="AX154" s="152"/>
      <c r="AY154" s="152"/>
      <c r="AZ154" s="152"/>
      <c r="BA154" s="152"/>
      <c r="BB154" s="152"/>
      <c r="BC154" s="152"/>
      <c r="BD154" s="152"/>
      <c r="BE154" s="152"/>
      <c r="BF154" s="152"/>
    </row>
    <row r="155" s="1" customFormat="1" customHeight="1" spans="1:58">
      <c r="A155" s="120" t="s">
        <v>25</v>
      </c>
      <c r="B155" s="141"/>
      <c r="C155" s="209">
        <f>SUM(C150:C154)+40</f>
        <v>620</v>
      </c>
      <c r="D155" s="143">
        <f t="shared" ref="D155:G155" si="36">SUM(D150:D154)</f>
        <v>29.54</v>
      </c>
      <c r="E155" s="144">
        <f t="shared" si="36"/>
        <v>14.97</v>
      </c>
      <c r="F155" s="145">
        <f t="shared" si="36"/>
        <v>72.41</v>
      </c>
      <c r="G155" s="146">
        <f t="shared" si="36"/>
        <v>542.53</v>
      </c>
      <c r="H155" s="76"/>
      <c r="I155" s="7"/>
      <c r="J155" s="152"/>
      <c r="K155" s="152"/>
      <c r="L155" s="152"/>
      <c r="M155" s="152"/>
      <c r="N155" s="152"/>
      <c r="O155" s="152"/>
      <c r="P155" s="152"/>
      <c r="Q155" s="152"/>
      <c r="R155" s="152"/>
      <c r="S155" s="152"/>
      <c r="T155" s="152"/>
      <c r="U155" s="152"/>
      <c r="V155" s="152"/>
      <c r="W155" s="152"/>
      <c r="X155" s="152"/>
      <c r="Y155" s="152"/>
      <c r="Z155" s="152"/>
      <c r="AA155" s="152"/>
      <c r="AB155" s="152"/>
      <c r="AC155" s="152"/>
      <c r="AD155" s="152"/>
      <c r="AE155" s="152"/>
      <c r="AF155" s="152"/>
      <c r="AG155" s="152"/>
      <c r="AH155" s="152"/>
      <c r="AI155" s="152"/>
      <c r="AJ155" s="152"/>
      <c r="AK155" s="152"/>
      <c r="AL155" s="152"/>
      <c r="AM155" s="152"/>
      <c r="AN155" s="152"/>
      <c r="AO155" s="152"/>
      <c r="AP155" s="152"/>
      <c r="AQ155" s="152"/>
      <c r="AR155" s="152"/>
      <c r="AS155" s="152"/>
      <c r="AT155" s="152"/>
      <c r="AU155" s="152"/>
      <c r="AV155" s="152"/>
      <c r="AW155" s="152"/>
      <c r="AX155" s="152"/>
      <c r="AY155" s="152"/>
      <c r="AZ155" s="152"/>
      <c r="BA155" s="152"/>
      <c r="BB155" s="152"/>
      <c r="BC155" s="152"/>
      <c r="BD155" s="152"/>
      <c r="BE155" s="152"/>
      <c r="BF155" s="152"/>
    </row>
    <row r="156" ht="17.25" customHeight="1" spans="1:17">
      <c r="A156" s="147" t="s">
        <v>26</v>
      </c>
      <c r="B156" s="124"/>
      <c r="C156" s="124"/>
      <c r="D156" s="79"/>
      <c r="E156" s="79"/>
      <c r="F156" s="80"/>
      <c r="G156" s="80"/>
      <c r="H156" s="76"/>
      <c r="I156" s="7"/>
      <c r="J156" s="153"/>
      <c r="K156" s="3"/>
      <c r="L156" s="3"/>
      <c r="M156" s="3"/>
      <c r="N156" s="3"/>
      <c r="O156" s="3"/>
      <c r="P156" s="3"/>
      <c r="Q156" s="3"/>
    </row>
    <row r="157" s="1" customFormat="1" customHeight="1" spans="1:58">
      <c r="A157" s="207"/>
      <c r="B157" s="82" t="s">
        <v>202</v>
      </c>
      <c r="C157" s="83">
        <v>250</v>
      </c>
      <c r="D157" s="84">
        <v>5.47</v>
      </c>
      <c r="E157" s="85">
        <v>5.25</v>
      </c>
      <c r="F157" s="86">
        <v>16.28</v>
      </c>
      <c r="G157" s="52">
        <f t="shared" ref="G157:G161" si="37">(D157*4)+(E157*9)+(F157*4)</f>
        <v>134.25</v>
      </c>
      <c r="H157" s="87" t="s">
        <v>130</v>
      </c>
      <c r="I157" s="8"/>
      <c r="J157" s="152"/>
      <c r="K157" s="152"/>
      <c r="L157" s="152"/>
      <c r="M157" s="152"/>
      <c r="N157" s="152"/>
      <c r="O157" s="152"/>
      <c r="P157" s="152"/>
      <c r="Q157" s="152"/>
      <c r="R157" s="152"/>
      <c r="S157" s="152"/>
      <c r="T157" s="152"/>
      <c r="U157" s="152"/>
      <c r="V157" s="152"/>
      <c r="W157" s="152"/>
      <c r="X157" s="152"/>
      <c r="Y157" s="152"/>
      <c r="Z157" s="152"/>
      <c r="AA157" s="152"/>
      <c r="AB157" s="152"/>
      <c r="AC157" s="152"/>
      <c r="AD157" s="152"/>
      <c r="AE157" s="152"/>
      <c r="AF157" s="152"/>
      <c r="AG157" s="152"/>
      <c r="AH157" s="152"/>
      <c r="AI157" s="152"/>
      <c r="AJ157" s="152"/>
      <c r="AK157" s="152"/>
      <c r="AL157" s="152"/>
      <c r="AM157" s="152"/>
      <c r="AN157" s="152"/>
      <c r="AO157" s="152"/>
      <c r="AP157" s="152"/>
      <c r="AQ157" s="152"/>
      <c r="AR157" s="152"/>
      <c r="AS157" s="152"/>
      <c r="AT157" s="152"/>
      <c r="AU157" s="152"/>
      <c r="AV157" s="152"/>
      <c r="AW157" s="152"/>
      <c r="AX157" s="152"/>
      <c r="AY157" s="152"/>
      <c r="AZ157" s="152"/>
      <c r="BA157" s="152"/>
      <c r="BB157" s="152"/>
      <c r="BC157" s="152"/>
      <c r="BD157" s="152"/>
      <c r="BE157" s="152"/>
      <c r="BF157" s="152"/>
    </row>
    <row r="158" s="1" customFormat="1" customHeight="1" spans="1:58">
      <c r="A158" s="61"/>
      <c r="B158" s="55" t="s">
        <v>131</v>
      </c>
      <c r="C158" s="56">
        <v>100</v>
      </c>
      <c r="D158" s="57">
        <v>7.61</v>
      </c>
      <c r="E158" s="58">
        <v>2.45</v>
      </c>
      <c r="F158" s="59">
        <v>5.33</v>
      </c>
      <c r="G158" s="52">
        <f t="shared" si="37"/>
        <v>73.81</v>
      </c>
      <c r="H158" s="62" t="s">
        <v>132</v>
      </c>
      <c r="I158" s="8"/>
      <c r="J158" s="152"/>
      <c r="K158" s="152"/>
      <c r="L158" s="152"/>
      <c r="M158" s="152"/>
      <c r="N158" s="152"/>
      <c r="O158" s="152"/>
      <c r="P158" s="152"/>
      <c r="Q158" s="152"/>
      <c r="R158" s="152"/>
      <c r="S158" s="152"/>
      <c r="T158" s="152"/>
      <c r="U158" s="152"/>
      <c r="V158" s="152"/>
      <c r="W158" s="152"/>
      <c r="X158" s="152"/>
      <c r="Y158" s="152"/>
      <c r="Z158" s="152"/>
      <c r="AA158" s="152"/>
      <c r="AB158" s="152"/>
      <c r="AC158" s="152"/>
      <c r="AD158" s="152"/>
      <c r="AE158" s="152"/>
      <c r="AF158" s="152"/>
      <c r="AG158" s="152"/>
      <c r="AH158" s="152"/>
      <c r="AI158" s="152"/>
      <c r="AJ158" s="152"/>
      <c r="AK158" s="152"/>
      <c r="AL158" s="152"/>
      <c r="AM158" s="152"/>
      <c r="AN158" s="152"/>
      <c r="AO158" s="152"/>
      <c r="AP158" s="152"/>
      <c r="AQ158" s="152"/>
      <c r="AR158" s="152"/>
      <c r="AS158" s="152"/>
      <c r="AT158" s="152"/>
      <c r="AU158" s="152"/>
      <c r="AV158" s="152"/>
      <c r="AW158" s="152"/>
      <c r="AX158" s="152"/>
      <c r="AY158" s="152"/>
      <c r="AZ158" s="152"/>
      <c r="BA158" s="152"/>
      <c r="BB158" s="152"/>
      <c r="BC158" s="152"/>
      <c r="BD158" s="152"/>
      <c r="BE158" s="152"/>
      <c r="BF158" s="152"/>
    </row>
    <row r="159" s="1" customFormat="1" customHeight="1" spans="1:58">
      <c r="A159" s="61"/>
      <c r="B159" s="55" t="s">
        <v>133</v>
      </c>
      <c r="C159" s="56">
        <v>200</v>
      </c>
      <c r="D159" s="57">
        <v>3.05</v>
      </c>
      <c r="E159" s="58">
        <v>4.17</v>
      </c>
      <c r="F159" s="59">
        <v>24.8</v>
      </c>
      <c r="G159" s="52">
        <f t="shared" si="37"/>
        <v>148.93</v>
      </c>
      <c r="H159" s="62" t="s">
        <v>134</v>
      </c>
      <c r="I159" s="8"/>
      <c r="J159" s="152"/>
      <c r="K159" s="152"/>
      <c r="L159" s="152"/>
      <c r="M159" s="152"/>
      <c r="N159" s="152"/>
      <c r="O159" s="152"/>
      <c r="P159" s="152"/>
      <c r="Q159" s="152"/>
      <c r="R159" s="152"/>
      <c r="S159" s="152"/>
      <c r="T159" s="152"/>
      <c r="U159" s="152"/>
      <c r="V159" s="152"/>
      <c r="W159" s="152"/>
      <c r="X159" s="152"/>
      <c r="Y159" s="152"/>
      <c r="Z159" s="152"/>
      <c r="AA159" s="152"/>
      <c r="AB159" s="152"/>
      <c r="AC159" s="152"/>
      <c r="AD159" s="152"/>
      <c r="AE159" s="152"/>
      <c r="AF159" s="152"/>
      <c r="AG159" s="152"/>
      <c r="AH159" s="152"/>
      <c r="AI159" s="152"/>
      <c r="AJ159" s="152"/>
      <c r="AK159" s="152"/>
      <c r="AL159" s="152"/>
      <c r="AM159" s="152"/>
      <c r="AN159" s="152"/>
      <c r="AO159" s="152"/>
      <c r="AP159" s="152"/>
      <c r="AQ159" s="152"/>
      <c r="AR159" s="152"/>
      <c r="AS159" s="152"/>
      <c r="AT159" s="152"/>
      <c r="AU159" s="152"/>
      <c r="AV159" s="152"/>
      <c r="AW159" s="152"/>
      <c r="AX159" s="152"/>
      <c r="AY159" s="152"/>
      <c r="AZ159" s="152"/>
      <c r="BA159" s="152"/>
      <c r="BB159" s="152"/>
      <c r="BC159" s="152"/>
      <c r="BD159" s="152"/>
      <c r="BE159" s="152"/>
      <c r="BF159" s="152"/>
    </row>
    <row r="160" s="1" customFormat="1" customHeight="1" spans="1:58">
      <c r="A160" s="54"/>
      <c r="B160" s="55" t="s">
        <v>91</v>
      </c>
      <c r="C160" s="56">
        <v>100</v>
      </c>
      <c r="D160" s="57">
        <v>0.34</v>
      </c>
      <c r="E160" s="58">
        <v>0.04</v>
      </c>
      <c r="F160" s="59">
        <v>0.68</v>
      </c>
      <c r="G160" s="52">
        <f t="shared" si="37"/>
        <v>4.44</v>
      </c>
      <c r="H160" s="60" t="s">
        <v>92</v>
      </c>
      <c r="I160" s="8"/>
      <c r="J160" s="152"/>
      <c r="K160" s="152"/>
      <c r="L160" s="152"/>
      <c r="M160" s="152"/>
      <c r="N160" s="152"/>
      <c r="O160" s="152"/>
      <c r="P160" s="152"/>
      <c r="Q160" s="152"/>
      <c r="R160" s="152"/>
      <c r="S160" s="152"/>
      <c r="T160" s="152"/>
      <c r="U160" s="152"/>
      <c r="V160" s="152"/>
      <c r="W160" s="152"/>
      <c r="X160" s="152"/>
      <c r="Y160" s="152"/>
      <c r="Z160" s="152"/>
      <c r="AA160" s="152"/>
      <c r="AB160" s="152"/>
      <c r="AC160" s="152"/>
      <c r="AD160" s="152"/>
      <c r="AE160" s="152"/>
      <c r="AF160" s="152"/>
      <c r="AG160" s="152"/>
      <c r="AH160" s="152"/>
      <c r="AI160" s="152"/>
      <c r="AJ160" s="152"/>
      <c r="AK160" s="152"/>
      <c r="AL160" s="152"/>
      <c r="AM160" s="152"/>
      <c r="AN160" s="152"/>
      <c r="AO160" s="152"/>
      <c r="AP160" s="152"/>
      <c r="AQ160" s="152"/>
      <c r="AR160" s="152"/>
      <c r="AS160" s="152"/>
      <c r="AT160" s="152"/>
      <c r="AU160" s="152"/>
      <c r="AV160" s="152"/>
      <c r="AW160" s="152"/>
      <c r="AX160" s="152"/>
      <c r="AY160" s="152"/>
      <c r="AZ160" s="152"/>
      <c r="BA160" s="152"/>
      <c r="BB160" s="152"/>
      <c r="BC160" s="152"/>
      <c r="BD160" s="152"/>
      <c r="BE160" s="152"/>
      <c r="BF160" s="152"/>
    </row>
    <row r="161" s="1" customFormat="1" customHeight="1" spans="1:58">
      <c r="A161" s="88"/>
      <c r="B161" s="89" t="s">
        <v>38</v>
      </c>
      <c r="C161" s="90">
        <v>200</v>
      </c>
      <c r="D161" s="91">
        <v>0.13</v>
      </c>
      <c r="E161" s="92">
        <v>0.04</v>
      </c>
      <c r="F161" s="93">
        <v>27.3</v>
      </c>
      <c r="G161" s="52">
        <f t="shared" si="37"/>
        <v>110.08</v>
      </c>
      <c r="H161" s="68" t="s">
        <v>123</v>
      </c>
      <c r="I161" s="8"/>
      <c r="J161" s="152"/>
      <c r="K161" s="152"/>
      <c r="L161" s="152"/>
      <c r="M161" s="152"/>
      <c r="N161" s="152"/>
      <c r="O161" s="152"/>
      <c r="P161" s="152"/>
      <c r="Q161" s="152"/>
      <c r="R161" s="152"/>
      <c r="S161" s="152"/>
      <c r="T161" s="152"/>
      <c r="U161" s="152"/>
      <c r="V161" s="152"/>
      <c r="W161" s="152"/>
      <c r="X161" s="152"/>
      <c r="Y161" s="152"/>
      <c r="Z161" s="152"/>
      <c r="AA161" s="152"/>
      <c r="AB161" s="152"/>
      <c r="AC161" s="152"/>
      <c r="AD161" s="152"/>
      <c r="AE161" s="152"/>
      <c r="AF161" s="152"/>
      <c r="AG161" s="152"/>
      <c r="AH161" s="152"/>
      <c r="AI161" s="152"/>
      <c r="AJ161" s="152"/>
      <c r="AK161" s="152"/>
      <c r="AL161" s="152"/>
      <c r="AM161" s="152"/>
      <c r="AN161" s="152"/>
      <c r="AO161" s="152"/>
      <c r="AP161" s="152"/>
      <c r="AQ161" s="152"/>
      <c r="AR161" s="152"/>
      <c r="AS161" s="152"/>
      <c r="AT161" s="152"/>
      <c r="AU161" s="152"/>
      <c r="AV161" s="152"/>
      <c r="AW161" s="152"/>
      <c r="AX161" s="152"/>
      <c r="AY161" s="152"/>
      <c r="AZ161" s="152"/>
      <c r="BA161" s="152"/>
      <c r="BB161" s="152"/>
      <c r="BC161" s="152"/>
      <c r="BD161" s="152"/>
      <c r="BE161" s="152"/>
      <c r="BF161" s="152"/>
    </row>
    <row r="162" s="1" customFormat="1" customHeight="1" spans="1:58">
      <c r="A162" s="126" t="s">
        <v>25</v>
      </c>
      <c r="B162" s="70"/>
      <c r="C162" s="214">
        <f>SUM(C157:C161)</f>
        <v>850</v>
      </c>
      <c r="D162" s="200">
        <f t="shared" ref="D162:G162" si="38">SUM(D157:D161)</f>
        <v>16.6</v>
      </c>
      <c r="E162" s="201">
        <f t="shared" si="38"/>
        <v>11.95</v>
      </c>
      <c r="F162" s="202">
        <f t="shared" si="38"/>
        <v>74.39</v>
      </c>
      <c r="G162" s="203">
        <f t="shared" si="38"/>
        <v>471.51</v>
      </c>
      <c r="H162" s="76"/>
      <c r="I162" s="8"/>
      <c r="J162" s="152"/>
      <c r="K162" s="152"/>
      <c r="L162" s="152"/>
      <c r="M162" s="152"/>
      <c r="N162" s="152"/>
      <c r="O162" s="152"/>
      <c r="P162" s="152"/>
      <c r="Q162" s="152"/>
      <c r="R162" s="152"/>
      <c r="S162" s="152"/>
      <c r="T162" s="152"/>
      <c r="U162" s="152"/>
      <c r="V162" s="152"/>
      <c r="W162" s="152"/>
      <c r="X162" s="152"/>
      <c r="Y162" s="152"/>
      <c r="Z162" s="152"/>
      <c r="AA162" s="152"/>
      <c r="AB162" s="152"/>
      <c r="AC162" s="152"/>
      <c r="AD162" s="152"/>
      <c r="AE162" s="152"/>
      <c r="AF162" s="152"/>
      <c r="AG162" s="152"/>
      <c r="AH162" s="152"/>
      <c r="AI162" s="152"/>
      <c r="AJ162" s="152"/>
      <c r="AK162" s="152"/>
      <c r="AL162" s="152"/>
      <c r="AM162" s="152"/>
      <c r="AN162" s="152"/>
      <c r="AO162" s="152"/>
      <c r="AP162" s="152"/>
      <c r="AQ162" s="152"/>
      <c r="AR162" s="152"/>
      <c r="AS162" s="152"/>
      <c r="AT162" s="152"/>
      <c r="AU162" s="152"/>
      <c r="AV162" s="152"/>
      <c r="AW162" s="152"/>
      <c r="AX162" s="152"/>
      <c r="AY162" s="152"/>
      <c r="AZ162" s="152"/>
      <c r="BA162" s="152"/>
      <c r="BB162" s="152"/>
      <c r="BC162" s="152"/>
      <c r="BD162" s="152"/>
      <c r="BE162" s="152"/>
      <c r="BF162" s="152"/>
    </row>
    <row r="163" s="1" customFormat="1" customHeight="1" spans="1:58">
      <c r="A163" s="128" t="s">
        <v>40</v>
      </c>
      <c r="B163" s="129"/>
      <c r="C163" s="215">
        <f>C162+C155</f>
        <v>1470</v>
      </c>
      <c r="D163" s="96">
        <f t="shared" ref="D163:G163" si="39">D162+D155</f>
        <v>46.14</v>
      </c>
      <c r="E163" s="97">
        <f t="shared" si="39"/>
        <v>26.92</v>
      </c>
      <c r="F163" s="98">
        <f t="shared" si="39"/>
        <v>146.8</v>
      </c>
      <c r="G163" s="99">
        <f t="shared" si="39"/>
        <v>1014.04</v>
      </c>
      <c r="H163" s="76"/>
      <c r="I163" s="153"/>
      <c r="J163" s="152"/>
      <c r="K163" s="152"/>
      <c r="L163" s="152"/>
      <c r="M163" s="152"/>
      <c r="N163" s="152"/>
      <c r="O163" s="152"/>
      <c r="P163" s="152"/>
      <c r="Q163" s="152"/>
      <c r="R163" s="152"/>
      <c r="S163" s="152"/>
      <c r="T163" s="152"/>
      <c r="U163" s="152"/>
      <c r="V163" s="152"/>
      <c r="W163" s="152"/>
      <c r="X163" s="152"/>
      <c r="Y163" s="152"/>
      <c r="Z163" s="152"/>
      <c r="AA163" s="152"/>
      <c r="AB163" s="152"/>
      <c r="AC163" s="152"/>
      <c r="AD163" s="152"/>
      <c r="AE163" s="152"/>
      <c r="AF163" s="152"/>
      <c r="AG163" s="152"/>
      <c r="AH163" s="152"/>
      <c r="AI163" s="152"/>
      <c r="AJ163" s="152"/>
      <c r="AK163" s="152"/>
      <c r="AL163" s="152"/>
      <c r="AM163" s="152"/>
      <c r="AN163" s="152"/>
      <c r="AO163" s="152"/>
      <c r="AP163" s="152"/>
      <c r="AQ163" s="152"/>
      <c r="AR163" s="152"/>
      <c r="AS163" s="152"/>
      <c r="AT163" s="152"/>
      <c r="AU163" s="152"/>
      <c r="AV163" s="152"/>
      <c r="AW163" s="152"/>
      <c r="AX163" s="152"/>
      <c r="AY163" s="152"/>
      <c r="AZ163" s="152"/>
      <c r="BA163" s="152"/>
      <c r="BB163" s="152"/>
      <c r="BC163" s="152"/>
      <c r="BD163" s="152"/>
      <c r="BE163" s="152"/>
      <c r="BF163" s="152"/>
    </row>
    <row r="164" s="1" customFormat="1" customHeight="1" spans="1:58">
      <c r="A164" s="100"/>
      <c r="B164" s="101"/>
      <c r="C164" s="106"/>
      <c r="D164" s="171"/>
      <c r="E164" s="171"/>
      <c r="F164" s="171"/>
      <c r="G164" s="171"/>
      <c r="H164" s="76"/>
      <c r="I164" s="8"/>
      <c r="J164" s="152"/>
      <c r="K164" s="152"/>
      <c r="L164" s="152"/>
      <c r="M164" s="152"/>
      <c r="N164" s="152"/>
      <c r="O164" s="152"/>
      <c r="P164" s="152"/>
      <c r="Q164" s="152"/>
      <c r="R164" s="152"/>
      <c r="S164" s="152"/>
      <c r="T164" s="152"/>
      <c r="U164" s="152"/>
      <c r="V164" s="152"/>
      <c r="W164" s="152"/>
      <c r="X164" s="152"/>
      <c r="Y164" s="152"/>
      <c r="Z164" s="152"/>
      <c r="AA164" s="152"/>
      <c r="AB164" s="152"/>
      <c r="AC164" s="152"/>
      <c r="AD164" s="152"/>
      <c r="AE164" s="152"/>
      <c r="AF164" s="152"/>
      <c r="AG164" s="152"/>
      <c r="AH164" s="152"/>
      <c r="AI164" s="152"/>
      <c r="AJ164" s="152"/>
      <c r="AK164" s="152"/>
      <c r="AL164" s="152"/>
      <c r="AM164" s="152"/>
      <c r="AN164" s="152"/>
      <c r="AO164" s="152"/>
      <c r="AP164" s="152"/>
      <c r="AQ164" s="152"/>
      <c r="AR164" s="152"/>
      <c r="AS164" s="152"/>
      <c r="AT164" s="152"/>
      <c r="AU164" s="152"/>
      <c r="AV164" s="152"/>
      <c r="AW164" s="152"/>
      <c r="AX164" s="152"/>
      <c r="AY164" s="152"/>
      <c r="AZ164" s="152"/>
      <c r="BA164" s="152"/>
      <c r="BB164" s="152"/>
      <c r="BC164" s="152"/>
      <c r="BD164" s="152"/>
      <c r="BE164" s="152"/>
      <c r="BF164" s="152"/>
    </row>
    <row r="165" ht="17.25" customHeight="1" spans="1:17">
      <c r="A165" s="134"/>
      <c r="B165" s="109" t="s">
        <v>79</v>
      </c>
      <c r="C165" s="109"/>
      <c r="D165" s="109"/>
      <c r="E165" s="109"/>
      <c r="F165" s="109"/>
      <c r="G165" s="109"/>
      <c r="H165" s="76"/>
      <c r="I165" s="8"/>
      <c r="J165" s="7"/>
      <c r="K165" s="3"/>
      <c r="L165" s="3"/>
      <c r="M165" s="3"/>
      <c r="N165" s="3"/>
      <c r="O165" s="3"/>
      <c r="P165" s="3"/>
      <c r="Q165" s="3"/>
    </row>
    <row r="166" ht="17.25" customHeight="1" spans="1:17">
      <c r="A166" s="172" t="s">
        <v>13</v>
      </c>
      <c r="B166" s="173"/>
      <c r="C166" s="110"/>
      <c r="D166" s="174"/>
      <c r="E166" s="174"/>
      <c r="F166" s="174"/>
      <c r="G166" s="174"/>
      <c r="H166" s="81"/>
      <c r="I166" s="8"/>
      <c r="J166" s="7"/>
      <c r="K166" s="3"/>
      <c r="L166" s="3"/>
      <c r="M166" s="3"/>
      <c r="N166" s="3"/>
      <c r="O166" s="3"/>
      <c r="P166" s="3"/>
      <c r="Q166" s="3"/>
    </row>
    <row r="167" s="1" customFormat="1" customHeight="1" spans="1:58">
      <c r="A167" s="196"/>
      <c r="B167" s="176" t="s">
        <v>198</v>
      </c>
      <c r="C167" s="83">
        <v>100</v>
      </c>
      <c r="D167" s="84">
        <v>0.1</v>
      </c>
      <c r="E167" s="85">
        <v>0.03</v>
      </c>
      <c r="F167" s="86">
        <v>1.1</v>
      </c>
      <c r="G167" s="52">
        <f t="shared" ref="G167:G172" si="40">(D167*4)+(E167*9)+(F167*4)</f>
        <v>5.07</v>
      </c>
      <c r="H167" s="197" t="s">
        <v>65</v>
      </c>
      <c r="I167" s="8"/>
      <c r="J167" s="152"/>
      <c r="K167" s="152"/>
      <c r="L167" s="152"/>
      <c r="M167" s="152"/>
      <c r="N167" s="152"/>
      <c r="O167" s="152"/>
      <c r="P167" s="152"/>
      <c r="Q167" s="152"/>
      <c r="R167" s="152"/>
      <c r="S167" s="152"/>
      <c r="T167" s="152"/>
      <c r="U167" s="152"/>
      <c r="V167" s="152"/>
      <c r="W167" s="152"/>
      <c r="X167" s="152"/>
      <c r="Y167" s="152"/>
      <c r="Z167" s="152"/>
      <c r="AA167" s="152"/>
      <c r="AB167" s="152"/>
      <c r="AC167" s="152"/>
      <c r="AD167" s="152"/>
      <c r="AE167" s="152"/>
      <c r="AF167" s="152"/>
      <c r="AG167" s="152"/>
      <c r="AH167" s="152"/>
      <c r="AI167" s="152"/>
      <c r="AJ167" s="152"/>
      <c r="AK167" s="152"/>
      <c r="AL167" s="152"/>
      <c r="AM167" s="152"/>
      <c r="AN167" s="152"/>
      <c r="AO167" s="152"/>
      <c r="AP167" s="152"/>
      <c r="AQ167" s="152"/>
      <c r="AR167" s="152"/>
      <c r="AS167" s="152"/>
      <c r="AT167" s="152"/>
      <c r="AU167" s="152"/>
      <c r="AV167" s="152"/>
      <c r="AW167" s="152"/>
      <c r="AX167" s="152"/>
      <c r="AY167" s="152"/>
      <c r="AZ167" s="152"/>
      <c r="BA167" s="152"/>
      <c r="BB167" s="152"/>
      <c r="BC167" s="152"/>
      <c r="BD167" s="152"/>
      <c r="BE167" s="152"/>
      <c r="BF167" s="152"/>
    </row>
    <row r="168" s="1" customFormat="1" customHeight="1" spans="1:58">
      <c r="A168" s="61"/>
      <c r="B168" s="55" t="s">
        <v>203</v>
      </c>
      <c r="C168" s="56">
        <v>100</v>
      </c>
      <c r="D168" s="57">
        <v>12.27</v>
      </c>
      <c r="E168" s="58">
        <v>12.81</v>
      </c>
      <c r="F168" s="59">
        <v>11.97</v>
      </c>
      <c r="G168" s="52">
        <f t="shared" si="40"/>
        <v>212.25</v>
      </c>
      <c r="H168" s="62" t="s">
        <v>137</v>
      </c>
      <c r="I168" s="8"/>
      <c r="J168" s="152"/>
      <c r="K168" s="152"/>
      <c r="L168" s="152"/>
      <c r="M168" s="152"/>
      <c r="N168" s="152"/>
      <c r="O168" s="152"/>
      <c r="P168" s="152"/>
      <c r="Q168" s="152"/>
      <c r="R168" s="152"/>
      <c r="S168" s="152"/>
      <c r="T168" s="152"/>
      <c r="U168" s="152"/>
      <c r="V168" s="152"/>
      <c r="W168" s="152"/>
      <c r="X168" s="152"/>
      <c r="Y168" s="152"/>
      <c r="Z168" s="152"/>
      <c r="AA168" s="152"/>
      <c r="AB168" s="152"/>
      <c r="AC168" s="152"/>
      <c r="AD168" s="152"/>
      <c r="AE168" s="152"/>
      <c r="AF168" s="152"/>
      <c r="AG168" s="152"/>
      <c r="AH168" s="152"/>
      <c r="AI168" s="152"/>
      <c r="AJ168" s="152"/>
      <c r="AK168" s="152"/>
      <c r="AL168" s="152"/>
      <c r="AM168" s="152"/>
      <c r="AN168" s="152"/>
      <c r="AO168" s="152"/>
      <c r="AP168" s="152"/>
      <c r="AQ168" s="152"/>
      <c r="AR168" s="152"/>
      <c r="AS168" s="152"/>
      <c r="AT168" s="152"/>
      <c r="AU168" s="152"/>
      <c r="AV168" s="152"/>
      <c r="AW168" s="152"/>
      <c r="AX168" s="152"/>
      <c r="AY168" s="152"/>
      <c r="AZ168" s="152"/>
      <c r="BA168" s="152"/>
      <c r="BB168" s="152"/>
      <c r="BC168" s="152"/>
      <c r="BD168" s="152"/>
      <c r="BE168" s="152"/>
      <c r="BF168" s="152"/>
    </row>
    <row r="169" s="1" customFormat="1" customHeight="1" spans="1:58">
      <c r="A169" s="61"/>
      <c r="B169" s="55" t="s">
        <v>98</v>
      </c>
      <c r="C169" s="56">
        <v>200</v>
      </c>
      <c r="D169" s="57">
        <v>8.69</v>
      </c>
      <c r="E169" s="58">
        <v>2.28</v>
      </c>
      <c r="F169" s="59">
        <v>39.4</v>
      </c>
      <c r="G169" s="52">
        <f t="shared" si="40"/>
        <v>212.88</v>
      </c>
      <c r="H169" s="62" t="s">
        <v>99</v>
      </c>
      <c r="I169" s="8"/>
      <c r="J169" s="152"/>
      <c r="K169" s="152"/>
      <c r="L169" s="152"/>
      <c r="M169" s="152"/>
      <c r="N169" s="152"/>
      <c r="O169" s="152"/>
      <c r="P169" s="152"/>
      <c r="Q169" s="152"/>
      <c r="R169" s="152"/>
      <c r="S169" s="152"/>
      <c r="T169" s="152"/>
      <c r="U169" s="152"/>
      <c r="V169" s="152"/>
      <c r="W169" s="152"/>
      <c r="X169" s="152"/>
      <c r="Y169" s="152"/>
      <c r="Z169" s="152"/>
      <c r="AA169" s="152"/>
      <c r="AB169" s="152"/>
      <c r="AC169" s="152"/>
      <c r="AD169" s="152"/>
      <c r="AE169" s="152"/>
      <c r="AF169" s="152"/>
      <c r="AG169" s="152"/>
      <c r="AH169" s="152"/>
      <c r="AI169" s="152"/>
      <c r="AJ169" s="152"/>
      <c r="AK169" s="152"/>
      <c r="AL169" s="152"/>
      <c r="AM169" s="152"/>
      <c r="AN169" s="152"/>
      <c r="AO169" s="152"/>
      <c r="AP169" s="152"/>
      <c r="AQ169" s="152"/>
      <c r="AR169" s="152"/>
      <c r="AS169" s="152"/>
      <c r="AT169" s="152"/>
      <c r="AU169" s="152"/>
      <c r="AV169" s="152"/>
      <c r="AW169" s="152"/>
      <c r="AX169" s="152"/>
      <c r="AY169" s="152"/>
      <c r="AZ169" s="152"/>
      <c r="BA169" s="152"/>
      <c r="BB169" s="152"/>
      <c r="BC169" s="152"/>
      <c r="BD169" s="152"/>
      <c r="BE169" s="152"/>
      <c r="BF169" s="152"/>
    </row>
    <row r="170" s="1" customFormat="1" customHeight="1" spans="1:58">
      <c r="A170" s="61"/>
      <c r="B170" s="55" t="s">
        <v>84</v>
      </c>
      <c r="C170" s="56">
        <v>200</v>
      </c>
      <c r="D170" s="57">
        <v>3.9</v>
      </c>
      <c r="E170" s="58">
        <v>3</v>
      </c>
      <c r="F170" s="59">
        <v>17.28</v>
      </c>
      <c r="G170" s="52">
        <f t="shared" si="40"/>
        <v>111.72</v>
      </c>
      <c r="H170" s="62" t="s">
        <v>127</v>
      </c>
      <c r="I170" s="8"/>
      <c r="J170" s="152"/>
      <c r="K170" s="152"/>
      <c r="L170" s="152"/>
      <c r="M170" s="152"/>
      <c r="N170" s="152"/>
      <c r="O170" s="152"/>
      <c r="P170" s="152"/>
      <c r="Q170" s="152"/>
      <c r="R170" s="152"/>
      <c r="S170" s="152"/>
      <c r="T170" s="152"/>
      <c r="U170" s="152"/>
      <c r="V170" s="152"/>
      <c r="W170" s="152"/>
      <c r="X170" s="152"/>
      <c r="Y170" s="152"/>
      <c r="Z170" s="152"/>
      <c r="AA170" s="152"/>
      <c r="AB170" s="152"/>
      <c r="AC170" s="152"/>
      <c r="AD170" s="152"/>
      <c r="AE170" s="152"/>
      <c r="AF170" s="152"/>
      <c r="AG170" s="152"/>
      <c r="AH170" s="152"/>
      <c r="AI170" s="152"/>
      <c r="AJ170" s="152"/>
      <c r="AK170" s="152"/>
      <c r="AL170" s="152"/>
      <c r="AM170" s="152"/>
      <c r="AN170" s="152"/>
      <c r="AO170" s="152"/>
      <c r="AP170" s="152"/>
      <c r="AQ170" s="152"/>
      <c r="AR170" s="152"/>
      <c r="AS170" s="152"/>
      <c r="AT170" s="152"/>
      <c r="AU170" s="152"/>
      <c r="AV170" s="152"/>
      <c r="AW170" s="152"/>
      <c r="AX170" s="152"/>
      <c r="AY170" s="152"/>
      <c r="AZ170" s="152"/>
      <c r="BA170" s="152"/>
      <c r="BB170" s="152"/>
      <c r="BC170" s="152"/>
      <c r="BD170" s="152"/>
      <c r="BE170" s="152"/>
      <c r="BF170" s="152"/>
    </row>
    <row r="171" s="1" customFormat="1" ht="27.75" customHeight="1" spans="1:58">
      <c r="A171" s="61"/>
      <c r="B171" s="137" t="s">
        <v>179</v>
      </c>
      <c r="C171" s="56" t="s">
        <v>180</v>
      </c>
      <c r="D171" s="57">
        <v>0.08</v>
      </c>
      <c r="E171" s="58">
        <v>0</v>
      </c>
      <c r="F171" s="59">
        <v>12</v>
      </c>
      <c r="G171" s="52">
        <f t="shared" si="40"/>
        <v>48.32</v>
      </c>
      <c r="H171" s="62" t="s">
        <v>23</v>
      </c>
      <c r="I171" s="8"/>
      <c r="J171" s="152"/>
      <c r="K171" s="152"/>
      <c r="L171" s="152"/>
      <c r="M171" s="152"/>
      <c r="N171" s="152"/>
      <c r="O171" s="152"/>
      <c r="P171" s="152"/>
      <c r="Q171" s="152"/>
      <c r="R171" s="152"/>
      <c r="S171" s="152"/>
      <c r="T171" s="152"/>
      <c r="U171" s="152"/>
      <c r="V171" s="152"/>
      <c r="W171" s="152"/>
      <c r="X171" s="152"/>
      <c r="Y171" s="152"/>
      <c r="Z171" s="152"/>
      <c r="AA171" s="152"/>
      <c r="AB171" s="152"/>
      <c r="AC171" s="152"/>
      <c r="AD171" s="152"/>
      <c r="AE171" s="152"/>
      <c r="AF171" s="152"/>
      <c r="AG171" s="152"/>
      <c r="AH171" s="152"/>
      <c r="AI171" s="152"/>
      <c r="AJ171" s="152"/>
      <c r="AK171" s="152"/>
      <c r="AL171" s="152"/>
      <c r="AM171" s="152"/>
      <c r="AN171" s="152"/>
      <c r="AO171" s="152"/>
      <c r="AP171" s="152"/>
      <c r="AQ171" s="152"/>
      <c r="AR171" s="152"/>
      <c r="AS171" s="152"/>
      <c r="AT171" s="152"/>
      <c r="AU171" s="152"/>
      <c r="AV171" s="152"/>
      <c r="AW171" s="152"/>
      <c r="AX171" s="152"/>
      <c r="AY171" s="152"/>
      <c r="AZ171" s="152"/>
      <c r="BA171" s="152"/>
      <c r="BB171" s="152"/>
      <c r="BC171" s="152"/>
      <c r="BD171" s="152"/>
      <c r="BE171" s="152"/>
      <c r="BF171" s="152"/>
    </row>
    <row r="172" s="1" customFormat="1" customHeight="1" spans="1:58">
      <c r="A172" s="88"/>
      <c r="B172" s="89" t="s">
        <v>22</v>
      </c>
      <c r="C172" s="194">
        <v>50</v>
      </c>
      <c r="D172" s="91">
        <v>3.04</v>
      </c>
      <c r="E172" s="92">
        <v>0.36</v>
      </c>
      <c r="F172" s="93">
        <v>18.48</v>
      </c>
      <c r="G172" s="52">
        <f t="shared" si="40"/>
        <v>89.32</v>
      </c>
      <c r="H172" s="68" t="s">
        <v>23</v>
      </c>
      <c r="I172" s="7"/>
      <c r="J172" s="152"/>
      <c r="K172" s="152"/>
      <c r="L172" s="152"/>
      <c r="M172" s="152"/>
      <c r="N172" s="152"/>
      <c r="O172" s="152"/>
      <c r="P172" s="152"/>
      <c r="Q172" s="152"/>
      <c r="R172" s="152"/>
      <c r="S172" s="152"/>
      <c r="T172" s="152"/>
      <c r="U172" s="152"/>
      <c r="V172" s="152"/>
      <c r="W172" s="152"/>
      <c r="X172" s="152"/>
      <c r="Y172" s="152"/>
      <c r="Z172" s="152"/>
      <c r="AA172" s="152"/>
      <c r="AB172" s="152"/>
      <c r="AC172" s="152"/>
      <c r="AD172" s="152"/>
      <c r="AE172" s="152"/>
      <c r="AF172" s="152"/>
      <c r="AG172" s="152"/>
      <c r="AH172" s="152"/>
      <c r="AI172" s="152"/>
      <c r="AJ172" s="152"/>
      <c r="AK172" s="152"/>
      <c r="AL172" s="152"/>
      <c r="AM172" s="152"/>
      <c r="AN172" s="152"/>
      <c r="AO172" s="152"/>
      <c r="AP172" s="152"/>
      <c r="AQ172" s="152"/>
      <c r="AR172" s="152"/>
      <c r="AS172" s="152"/>
      <c r="AT172" s="152"/>
      <c r="AU172" s="152"/>
      <c r="AV172" s="152"/>
      <c r="AW172" s="152"/>
      <c r="AX172" s="152"/>
      <c r="AY172" s="152"/>
      <c r="AZ172" s="152"/>
      <c r="BA172" s="152"/>
      <c r="BB172" s="152"/>
      <c r="BC172" s="152"/>
      <c r="BD172" s="152"/>
      <c r="BE172" s="152"/>
      <c r="BF172" s="152"/>
    </row>
    <row r="173" s="1" customFormat="1" customHeight="1" spans="1:58">
      <c r="A173" s="120" t="s">
        <v>25</v>
      </c>
      <c r="B173" s="141"/>
      <c r="C173" s="209">
        <f>SUM(C167:C172)+40</f>
        <v>690</v>
      </c>
      <c r="D173" s="143">
        <f t="shared" ref="D173:G173" si="41">SUM(D167:D172)</f>
        <v>28.08</v>
      </c>
      <c r="E173" s="144">
        <f t="shared" si="41"/>
        <v>18.48</v>
      </c>
      <c r="F173" s="145">
        <f t="shared" si="41"/>
        <v>100.23</v>
      </c>
      <c r="G173" s="146">
        <f t="shared" si="41"/>
        <v>679.56</v>
      </c>
      <c r="H173" s="76"/>
      <c r="I173" s="153"/>
      <c r="J173" s="152"/>
      <c r="K173" s="152"/>
      <c r="L173" s="152"/>
      <c r="M173" s="152"/>
      <c r="N173" s="152"/>
      <c r="O173" s="152"/>
      <c r="P173" s="152"/>
      <c r="Q173" s="152"/>
      <c r="R173" s="152"/>
      <c r="S173" s="152"/>
      <c r="T173" s="152"/>
      <c r="U173" s="152"/>
      <c r="V173" s="152"/>
      <c r="W173" s="152"/>
      <c r="X173" s="152"/>
      <c r="Y173" s="152"/>
      <c r="Z173" s="152"/>
      <c r="AA173" s="152"/>
      <c r="AB173" s="152"/>
      <c r="AC173" s="152"/>
      <c r="AD173" s="152"/>
      <c r="AE173" s="152"/>
      <c r="AF173" s="152"/>
      <c r="AG173" s="152"/>
      <c r="AH173" s="152"/>
      <c r="AI173" s="152"/>
      <c r="AJ173" s="152"/>
      <c r="AK173" s="152"/>
      <c r="AL173" s="152"/>
      <c r="AM173" s="152"/>
      <c r="AN173" s="152"/>
      <c r="AO173" s="152"/>
      <c r="AP173" s="152"/>
      <c r="AQ173" s="152"/>
      <c r="AR173" s="152"/>
      <c r="AS173" s="152"/>
      <c r="AT173" s="152"/>
      <c r="AU173" s="152"/>
      <c r="AV173" s="152"/>
      <c r="AW173" s="152"/>
      <c r="AX173" s="152"/>
      <c r="AY173" s="152"/>
      <c r="AZ173" s="152"/>
      <c r="BA173" s="152"/>
      <c r="BB173" s="152"/>
      <c r="BC173" s="152"/>
      <c r="BD173" s="152"/>
      <c r="BE173" s="152"/>
      <c r="BF173" s="152"/>
    </row>
    <row r="174" ht="17.25" customHeight="1" spans="1:17">
      <c r="A174" s="147" t="s">
        <v>26</v>
      </c>
      <c r="B174" s="124"/>
      <c r="C174" s="124"/>
      <c r="D174" s="79"/>
      <c r="E174" s="79"/>
      <c r="F174" s="80"/>
      <c r="G174" s="80"/>
      <c r="H174" s="76"/>
      <c r="I174" s="8"/>
      <c r="J174" s="153"/>
      <c r="K174" s="3"/>
      <c r="L174" s="3"/>
      <c r="M174" s="3"/>
      <c r="N174" s="3"/>
      <c r="O174" s="3"/>
      <c r="P174" s="3"/>
      <c r="Q174" s="3"/>
    </row>
    <row r="175" s="1" customFormat="1" customHeight="1" spans="1:58">
      <c r="A175" s="196"/>
      <c r="B175" s="82" t="s">
        <v>103</v>
      </c>
      <c r="C175" s="83">
        <v>250</v>
      </c>
      <c r="D175" s="84">
        <v>4.82</v>
      </c>
      <c r="E175" s="85">
        <v>4.9</v>
      </c>
      <c r="F175" s="86">
        <v>12.72</v>
      </c>
      <c r="G175" s="52">
        <f t="shared" ref="G175:G179" si="42">(D175*4)+(E175*9)+(F175*4)</f>
        <v>114.26</v>
      </c>
      <c r="H175" s="197" t="s">
        <v>104</v>
      </c>
      <c r="I175" s="8" t="s">
        <v>204</v>
      </c>
      <c r="J175" s="152"/>
      <c r="K175" s="152"/>
      <c r="L175" s="152"/>
      <c r="M175" s="152"/>
      <c r="N175" s="152"/>
      <c r="O175" s="152"/>
      <c r="P175" s="152"/>
      <c r="Q175" s="152"/>
      <c r="R175" s="152"/>
      <c r="S175" s="152"/>
      <c r="T175" s="152"/>
      <c r="U175" s="152"/>
      <c r="V175" s="152"/>
      <c r="W175" s="152"/>
      <c r="X175" s="152"/>
      <c r="Y175" s="152"/>
      <c r="Z175" s="152"/>
      <c r="AA175" s="152"/>
      <c r="AB175" s="152"/>
      <c r="AC175" s="152"/>
      <c r="AD175" s="152"/>
      <c r="AE175" s="152"/>
      <c r="AF175" s="152"/>
      <c r="AG175" s="152"/>
      <c r="AH175" s="152"/>
      <c r="AI175" s="152"/>
      <c r="AJ175" s="152"/>
      <c r="AK175" s="152"/>
      <c r="AL175" s="152"/>
      <c r="AM175" s="152"/>
      <c r="AN175" s="152"/>
      <c r="AO175" s="152"/>
      <c r="AP175" s="152"/>
      <c r="AQ175" s="152"/>
      <c r="AR175" s="152"/>
      <c r="AS175" s="152"/>
      <c r="AT175" s="152"/>
      <c r="AU175" s="152"/>
      <c r="AV175" s="152"/>
      <c r="AW175" s="152"/>
      <c r="AX175" s="152"/>
      <c r="AY175" s="152"/>
      <c r="AZ175" s="152"/>
      <c r="BA175" s="152"/>
      <c r="BB175" s="152"/>
      <c r="BC175" s="152"/>
      <c r="BD175" s="152"/>
      <c r="BE175" s="152"/>
      <c r="BF175" s="152"/>
    </row>
    <row r="176" s="1" customFormat="1" customHeight="1" spans="1:58">
      <c r="A176" s="61"/>
      <c r="B176" s="55" t="s">
        <v>205</v>
      </c>
      <c r="C176" s="56">
        <v>250</v>
      </c>
      <c r="D176" s="57">
        <v>12.6</v>
      </c>
      <c r="E176" s="58">
        <v>10.3</v>
      </c>
      <c r="F176" s="59">
        <v>20.37</v>
      </c>
      <c r="G176" s="52">
        <f t="shared" si="42"/>
        <v>224.58</v>
      </c>
      <c r="H176" s="62" t="s">
        <v>140</v>
      </c>
      <c r="I176" s="8"/>
      <c r="J176" s="152"/>
      <c r="K176" s="152"/>
      <c r="L176" s="152"/>
      <c r="M176" s="152"/>
      <c r="N176" s="152"/>
      <c r="O176" s="152"/>
      <c r="P176" s="152"/>
      <c r="Q176" s="152"/>
      <c r="R176" s="152"/>
      <c r="S176" s="152"/>
      <c r="T176" s="152"/>
      <c r="U176" s="152"/>
      <c r="V176" s="152"/>
      <c r="W176" s="152"/>
      <c r="X176" s="152"/>
      <c r="Y176" s="152"/>
      <c r="Z176" s="152"/>
      <c r="AA176" s="152"/>
      <c r="AB176" s="152"/>
      <c r="AC176" s="152"/>
      <c r="AD176" s="152"/>
      <c r="AE176" s="152"/>
      <c r="AF176" s="152"/>
      <c r="AG176" s="152"/>
      <c r="AH176" s="152"/>
      <c r="AI176" s="152"/>
      <c r="AJ176" s="152"/>
      <c r="AK176" s="152"/>
      <c r="AL176" s="152"/>
      <c r="AM176" s="152"/>
      <c r="AN176" s="152"/>
      <c r="AO176" s="152"/>
      <c r="AP176" s="152"/>
      <c r="AQ176" s="152"/>
      <c r="AR176" s="152"/>
      <c r="AS176" s="152"/>
      <c r="AT176" s="152"/>
      <c r="AU176" s="152"/>
      <c r="AV176" s="152"/>
      <c r="AW176" s="152"/>
      <c r="AX176" s="152"/>
      <c r="AY176" s="152"/>
      <c r="AZ176" s="152"/>
      <c r="BA176" s="152"/>
      <c r="BB176" s="152"/>
      <c r="BC176" s="152"/>
      <c r="BD176" s="152"/>
      <c r="BE176" s="152"/>
      <c r="BF176" s="152"/>
    </row>
    <row r="177" s="1" customFormat="1" customHeight="1" spans="1:58">
      <c r="A177" s="61"/>
      <c r="B177" s="55" t="s">
        <v>178</v>
      </c>
      <c r="C177" s="56">
        <v>100</v>
      </c>
      <c r="D177" s="57">
        <v>0.8</v>
      </c>
      <c r="E177" s="58">
        <v>0.05</v>
      </c>
      <c r="F177" s="59">
        <v>0.85</v>
      </c>
      <c r="G177" s="52">
        <f t="shared" si="42"/>
        <v>7.05</v>
      </c>
      <c r="H177" s="62" t="s">
        <v>65</v>
      </c>
      <c r="I177" s="8"/>
      <c r="J177" s="152"/>
      <c r="K177" s="152"/>
      <c r="L177" s="152"/>
      <c r="M177" s="152"/>
      <c r="N177" s="152"/>
      <c r="O177" s="152"/>
      <c r="P177" s="152"/>
      <c r="Q177" s="152"/>
      <c r="R177" s="152"/>
      <c r="S177" s="152"/>
      <c r="T177" s="152"/>
      <c r="U177" s="152"/>
      <c r="V177" s="152"/>
      <c r="W177" s="152"/>
      <c r="X177" s="152"/>
      <c r="Y177" s="152"/>
      <c r="Z177" s="152"/>
      <c r="AA177" s="152"/>
      <c r="AB177" s="152"/>
      <c r="AC177" s="152"/>
      <c r="AD177" s="152"/>
      <c r="AE177" s="152"/>
      <c r="AF177" s="152"/>
      <c r="AG177" s="152"/>
      <c r="AH177" s="152"/>
      <c r="AI177" s="152"/>
      <c r="AJ177" s="152"/>
      <c r="AK177" s="152"/>
      <c r="AL177" s="152"/>
      <c r="AM177" s="152"/>
      <c r="AN177" s="152"/>
      <c r="AO177" s="152"/>
      <c r="AP177" s="152"/>
      <c r="AQ177" s="152"/>
      <c r="AR177" s="152"/>
      <c r="AS177" s="152"/>
      <c r="AT177" s="152"/>
      <c r="AU177" s="152"/>
      <c r="AV177" s="152"/>
      <c r="AW177" s="152"/>
      <c r="AX177" s="152"/>
      <c r="AY177" s="152"/>
      <c r="AZ177" s="152"/>
      <c r="BA177" s="152"/>
      <c r="BB177" s="152"/>
      <c r="BC177" s="152"/>
      <c r="BD177" s="152"/>
      <c r="BE177" s="152"/>
      <c r="BF177" s="152"/>
    </row>
    <row r="178" s="1" customFormat="1" customHeight="1" spans="1:58">
      <c r="A178" s="61"/>
      <c r="B178" s="55" t="s">
        <v>36</v>
      </c>
      <c r="C178" s="56" t="s">
        <v>37</v>
      </c>
      <c r="D178" s="57">
        <v>3.16</v>
      </c>
      <c r="E178" s="58">
        <v>0.4</v>
      </c>
      <c r="F178" s="59">
        <v>19.6</v>
      </c>
      <c r="G178" s="52">
        <f t="shared" si="42"/>
        <v>94.64</v>
      </c>
      <c r="H178" s="62" t="s">
        <v>23</v>
      </c>
      <c r="I178" s="8"/>
      <c r="J178" s="152"/>
      <c r="K178" s="152"/>
      <c r="L178" s="152"/>
      <c r="M178" s="152"/>
      <c r="N178" s="152"/>
      <c r="O178" s="152"/>
      <c r="P178" s="152"/>
      <c r="Q178" s="152"/>
      <c r="R178" s="152"/>
      <c r="S178" s="152"/>
      <c r="T178" s="152"/>
      <c r="U178" s="152"/>
      <c r="V178" s="152"/>
      <c r="W178" s="152"/>
      <c r="X178" s="152"/>
      <c r="Y178" s="152"/>
      <c r="Z178" s="152"/>
      <c r="AA178" s="152"/>
      <c r="AB178" s="152"/>
      <c r="AC178" s="152"/>
      <c r="AD178" s="152"/>
      <c r="AE178" s="152"/>
      <c r="AF178" s="152"/>
      <c r="AG178" s="152"/>
      <c r="AH178" s="152"/>
      <c r="AI178" s="152"/>
      <c r="AJ178" s="152"/>
      <c r="AK178" s="152"/>
      <c r="AL178" s="152"/>
      <c r="AM178" s="152"/>
      <c r="AN178" s="152"/>
      <c r="AO178" s="152"/>
      <c r="AP178" s="152"/>
      <c r="AQ178" s="152"/>
      <c r="AR178" s="152"/>
      <c r="AS178" s="152"/>
      <c r="AT178" s="152"/>
      <c r="AU178" s="152"/>
      <c r="AV178" s="152"/>
      <c r="AW178" s="152"/>
      <c r="AX178" s="152"/>
      <c r="AY178" s="152"/>
      <c r="AZ178" s="152"/>
      <c r="BA178" s="152"/>
      <c r="BB178" s="152"/>
      <c r="BC178" s="152"/>
      <c r="BD178" s="152"/>
      <c r="BE178" s="152"/>
      <c r="BF178" s="152"/>
    </row>
    <row r="179" s="1" customFormat="1" customHeight="1" spans="1:58">
      <c r="A179" s="88"/>
      <c r="B179" s="89" t="s">
        <v>206</v>
      </c>
      <c r="C179" s="90">
        <v>200</v>
      </c>
      <c r="D179" s="91">
        <v>0.43</v>
      </c>
      <c r="E179" s="92">
        <v>0.02</v>
      </c>
      <c r="F179" s="93">
        <v>27.6</v>
      </c>
      <c r="G179" s="52">
        <f t="shared" si="42"/>
        <v>112.3</v>
      </c>
      <c r="H179" s="68" t="s">
        <v>141</v>
      </c>
      <c r="I179" s="8"/>
      <c r="J179" s="152"/>
      <c r="K179" s="152"/>
      <c r="L179" s="152"/>
      <c r="M179" s="152"/>
      <c r="N179" s="152"/>
      <c r="O179" s="152"/>
      <c r="P179" s="152"/>
      <c r="Q179" s="152"/>
      <c r="R179" s="152"/>
      <c r="S179" s="152"/>
      <c r="T179" s="152"/>
      <c r="U179" s="152"/>
      <c r="V179" s="152"/>
      <c r="W179" s="152"/>
      <c r="X179" s="152"/>
      <c r="Y179" s="152"/>
      <c r="Z179" s="152"/>
      <c r="AA179" s="152"/>
      <c r="AB179" s="152"/>
      <c r="AC179" s="152"/>
      <c r="AD179" s="152"/>
      <c r="AE179" s="152"/>
      <c r="AF179" s="152"/>
      <c r="AG179" s="152"/>
      <c r="AH179" s="152"/>
      <c r="AI179" s="152"/>
      <c r="AJ179" s="152"/>
      <c r="AK179" s="152"/>
      <c r="AL179" s="152"/>
      <c r="AM179" s="152"/>
      <c r="AN179" s="152"/>
      <c r="AO179" s="152"/>
      <c r="AP179" s="152"/>
      <c r="AQ179" s="152"/>
      <c r="AR179" s="152"/>
      <c r="AS179" s="152"/>
      <c r="AT179" s="152"/>
      <c r="AU179" s="152"/>
      <c r="AV179" s="152"/>
      <c r="AW179" s="152"/>
      <c r="AX179" s="152"/>
      <c r="AY179" s="152"/>
      <c r="AZ179" s="152"/>
      <c r="BA179" s="152"/>
      <c r="BB179" s="152"/>
      <c r="BC179" s="152"/>
      <c r="BD179" s="152"/>
      <c r="BE179" s="152"/>
      <c r="BF179" s="152"/>
    </row>
    <row r="180" s="1" customFormat="1" customHeight="1" spans="1:58">
      <c r="A180" s="126" t="s">
        <v>25</v>
      </c>
      <c r="B180" s="70"/>
      <c r="C180" s="182">
        <f>SUM(C175:C179)+100</f>
        <v>900</v>
      </c>
      <c r="D180" s="72">
        <f t="shared" ref="D180:G180" si="43">SUM(D175:D179)</f>
        <v>21.81</v>
      </c>
      <c r="E180" s="73">
        <f t="shared" si="43"/>
        <v>15.67</v>
      </c>
      <c r="F180" s="74">
        <f t="shared" si="43"/>
        <v>81.14</v>
      </c>
      <c r="G180" s="75">
        <f t="shared" si="43"/>
        <v>552.83</v>
      </c>
      <c r="H180" s="76"/>
      <c r="I180" s="8"/>
      <c r="J180" s="152"/>
      <c r="K180" s="152"/>
      <c r="L180" s="152"/>
      <c r="M180" s="152"/>
      <c r="N180" s="152"/>
      <c r="O180" s="152"/>
      <c r="P180" s="152"/>
      <c r="Q180" s="152"/>
      <c r="R180" s="152"/>
      <c r="S180" s="152"/>
      <c r="T180" s="152"/>
      <c r="U180" s="152"/>
      <c r="V180" s="152"/>
      <c r="W180" s="152"/>
      <c r="X180" s="152"/>
      <c r="Y180" s="152"/>
      <c r="Z180" s="152"/>
      <c r="AA180" s="152"/>
      <c r="AB180" s="152"/>
      <c r="AC180" s="152"/>
      <c r="AD180" s="152"/>
      <c r="AE180" s="152"/>
      <c r="AF180" s="152"/>
      <c r="AG180" s="152"/>
      <c r="AH180" s="152"/>
      <c r="AI180" s="152"/>
      <c r="AJ180" s="152"/>
      <c r="AK180" s="152"/>
      <c r="AL180" s="152"/>
      <c r="AM180" s="152"/>
      <c r="AN180" s="152"/>
      <c r="AO180" s="152"/>
      <c r="AP180" s="152"/>
      <c r="AQ180" s="152"/>
      <c r="AR180" s="152"/>
      <c r="AS180" s="152"/>
      <c r="AT180" s="152"/>
      <c r="AU180" s="152"/>
      <c r="AV180" s="152"/>
      <c r="AW180" s="152"/>
      <c r="AX180" s="152"/>
      <c r="AY180" s="152"/>
      <c r="AZ180" s="152"/>
      <c r="BA180" s="152"/>
      <c r="BB180" s="152"/>
      <c r="BC180" s="152"/>
      <c r="BD180" s="152"/>
      <c r="BE180" s="152"/>
      <c r="BF180" s="152"/>
    </row>
    <row r="181" s="1" customFormat="1" customHeight="1" spans="1:58">
      <c r="A181" s="128" t="s">
        <v>40</v>
      </c>
      <c r="B181" s="129"/>
      <c r="C181" s="95">
        <f>C180+C173</f>
        <v>1590</v>
      </c>
      <c r="D181" s="96">
        <f t="shared" ref="D181:G181" si="44">D180+D173</f>
        <v>49.89</v>
      </c>
      <c r="E181" s="97">
        <f t="shared" si="44"/>
        <v>34.15</v>
      </c>
      <c r="F181" s="98">
        <f t="shared" si="44"/>
        <v>181.37</v>
      </c>
      <c r="G181" s="99">
        <f t="shared" si="44"/>
        <v>1232.39</v>
      </c>
      <c r="H181" s="76"/>
      <c r="I181" s="8"/>
      <c r="J181" s="152"/>
      <c r="K181" s="152"/>
      <c r="L181" s="152"/>
      <c r="M181" s="152"/>
      <c r="N181" s="152"/>
      <c r="O181" s="152"/>
      <c r="P181" s="152"/>
      <c r="Q181" s="152"/>
      <c r="R181" s="152"/>
      <c r="S181" s="152"/>
      <c r="T181" s="152"/>
      <c r="U181" s="152"/>
      <c r="V181" s="152"/>
      <c r="W181" s="152"/>
      <c r="X181" s="152"/>
      <c r="Y181" s="152"/>
      <c r="Z181" s="152"/>
      <c r="AA181" s="152"/>
      <c r="AB181" s="152"/>
      <c r="AC181" s="152"/>
      <c r="AD181" s="152"/>
      <c r="AE181" s="152"/>
      <c r="AF181" s="152"/>
      <c r="AG181" s="152"/>
      <c r="AH181" s="152"/>
      <c r="AI181" s="152"/>
      <c r="AJ181" s="152"/>
      <c r="AK181" s="152"/>
      <c r="AL181" s="152"/>
      <c r="AM181" s="152"/>
      <c r="AN181" s="152"/>
      <c r="AO181" s="152"/>
      <c r="AP181" s="152"/>
      <c r="AQ181" s="152"/>
      <c r="AR181" s="152"/>
      <c r="AS181" s="152"/>
      <c r="AT181" s="152"/>
      <c r="AU181" s="152"/>
      <c r="AV181" s="152"/>
      <c r="AW181" s="152"/>
      <c r="AX181" s="152"/>
      <c r="AY181" s="152"/>
      <c r="AZ181" s="152"/>
      <c r="BA181" s="152"/>
      <c r="BB181" s="152"/>
      <c r="BC181" s="152"/>
      <c r="BD181" s="152"/>
      <c r="BE181" s="152"/>
      <c r="BF181" s="152"/>
    </row>
    <row r="182" s="1" customFormat="1" customHeight="1" spans="1:58">
      <c r="A182" s="100"/>
      <c r="B182" s="101"/>
      <c r="C182" s="106"/>
      <c r="D182" s="171"/>
      <c r="E182" s="171"/>
      <c r="F182" s="171"/>
      <c r="G182" s="171"/>
      <c r="H182" s="76"/>
      <c r="I182" s="7"/>
      <c r="J182" s="152"/>
      <c r="K182" s="152"/>
      <c r="L182" s="152"/>
      <c r="M182" s="152"/>
      <c r="N182" s="152"/>
      <c r="O182" s="152"/>
      <c r="P182" s="152"/>
      <c r="Q182" s="152"/>
      <c r="R182" s="152"/>
      <c r="S182" s="152"/>
      <c r="T182" s="152"/>
      <c r="U182" s="152"/>
      <c r="V182" s="152"/>
      <c r="W182" s="152"/>
      <c r="X182" s="152"/>
      <c r="Y182" s="152"/>
      <c r="Z182" s="152"/>
      <c r="AA182" s="152"/>
      <c r="AB182" s="152"/>
      <c r="AC182" s="152"/>
      <c r="AD182" s="152"/>
      <c r="AE182" s="152"/>
      <c r="AF182" s="152"/>
      <c r="AG182" s="152"/>
      <c r="AH182" s="152"/>
      <c r="AI182" s="152"/>
      <c r="AJ182" s="152"/>
      <c r="AK182" s="152"/>
      <c r="AL182" s="152"/>
      <c r="AM182" s="152"/>
      <c r="AN182" s="152"/>
      <c r="AO182" s="152"/>
      <c r="AP182" s="152"/>
      <c r="AQ182" s="152"/>
      <c r="AR182" s="152"/>
      <c r="AS182" s="152"/>
      <c r="AT182" s="152"/>
      <c r="AU182" s="152"/>
      <c r="AV182" s="152"/>
      <c r="AW182" s="152"/>
      <c r="AX182" s="152"/>
      <c r="AY182" s="152"/>
      <c r="AZ182" s="152"/>
      <c r="BA182" s="152"/>
      <c r="BB182" s="152"/>
      <c r="BC182" s="152"/>
      <c r="BD182" s="152"/>
      <c r="BE182" s="152"/>
      <c r="BF182" s="152"/>
    </row>
    <row r="183" ht="17.25" customHeight="1" spans="1:17">
      <c r="A183" s="134"/>
      <c r="B183" s="109" t="s">
        <v>95</v>
      </c>
      <c r="C183" s="109"/>
      <c r="D183" s="109"/>
      <c r="E183" s="109"/>
      <c r="F183" s="109"/>
      <c r="G183" s="109"/>
      <c r="H183" s="76"/>
      <c r="I183" s="7"/>
      <c r="J183" s="7"/>
      <c r="K183" s="3"/>
      <c r="L183" s="3"/>
      <c r="M183" s="3"/>
      <c r="N183" s="3"/>
      <c r="O183" s="3"/>
      <c r="P183" s="3"/>
      <c r="Q183" s="3"/>
    </row>
    <row r="184" ht="17.25" customHeight="1" spans="1:17">
      <c r="A184" s="172" t="s">
        <v>13</v>
      </c>
      <c r="B184" s="173"/>
      <c r="C184" s="110"/>
      <c r="D184" s="174"/>
      <c r="E184" s="174"/>
      <c r="F184" s="174"/>
      <c r="G184" s="174"/>
      <c r="H184" s="76"/>
      <c r="I184" s="8"/>
      <c r="J184" s="7"/>
      <c r="K184" s="3"/>
      <c r="L184" s="3"/>
      <c r="M184" s="3"/>
      <c r="N184" s="3"/>
      <c r="O184" s="3"/>
      <c r="P184" s="3"/>
      <c r="Q184" s="3"/>
    </row>
    <row r="185" s="1" customFormat="1" customHeight="1" spans="1:58">
      <c r="A185" s="207"/>
      <c r="B185" s="82" t="s">
        <v>142</v>
      </c>
      <c r="C185" s="83">
        <v>205</v>
      </c>
      <c r="D185" s="84">
        <v>7.56</v>
      </c>
      <c r="E185" s="85">
        <v>8.14</v>
      </c>
      <c r="F185" s="86">
        <v>34.25</v>
      </c>
      <c r="G185" s="52">
        <f t="shared" ref="G185:G190" si="45">(D185*4)+(E185*9)+(F185*4)</f>
        <v>240.5</v>
      </c>
      <c r="H185" s="87" t="s">
        <v>143</v>
      </c>
      <c r="I185" s="8"/>
      <c r="J185" s="152"/>
      <c r="K185" s="152"/>
      <c r="L185" s="152"/>
      <c r="M185" s="152"/>
      <c r="N185" s="152"/>
      <c r="O185" s="152"/>
      <c r="P185" s="152"/>
      <c r="Q185" s="152"/>
      <c r="R185" s="152"/>
      <c r="S185" s="152"/>
      <c r="T185" s="152"/>
      <c r="U185" s="152"/>
      <c r="V185" s="152"/>
      <c r="W185" s="152"/>
      <c r="X185" s="152"/>
      <c r="Y185" s="152"/>
      <c r="Z185" s="152"/>
      <c r="AA185" s="152"/>
      <c r="AB185" s="152"/>
      <c r="AC185" s="152"/>
      <c r="AD185" s="152"/>
      <c r="AE185" s="152"/>
      <c r="AF185" s="152"/>
      <c r="AG185" s="152"/>
      <c r="AH185" s="152"/>
      <c r="AI185" s="152"/>
      <c r="AJ185" s="152"/>
      <c r="AK185" s="152"/>
      <c r="AL185" s="152"/>
      <c r="AM185" s="152"/>
      <c r="AN185" s="152"/>
      <c r="AO185" s="152"/>
      <c r="AP185" s="152"/>
      <c r="AQ185" s="152"/>
      <c r="AR185" s="152"/>
      <c r="AS185" s="152"/>
      <c r="AT185" s="152"/>
      <c r="AU185" s="152"/>
      <c r="AV185" s="152"/>
      <c r="AW185" s="152"/>
      <c r="AX185" s="152"/>
      <c r="AY185" s="152"/>
      <c r="AZ185" s="152"/>
      <c r="BA185" s="152"/>
      <c r="BB185" s="152"/>
      <c r="BC185" s="152"/>
      <c r="BD185" s="152"/>
      <c r="BE185" s="152"/>
      <c r="BF185" s="152"/>
    </row>
    <row r="186" s="1" customFormat="1" customHeight="1" spans="1:58">
      <c r="A186" s="61"/>
      <c r="B186" s="55" t="s">
        <v>144</v>
      </c>
      <c r="C186" s="56">
        <v>200</v>
      </c>
      <c r="D186" s="57">
        <v>0</v>
      </c>
      <c r="E186" s="58">
        <v>0</v>
      </c>
      <c r="F186" s="59">
        <v>11.98</v>
      </c>
      <c r="G186" s="52">
        <f t="shared" si="45"/>
        <v>47.92</v>
      </c>
      <c r="H186" s="62" t="s">
        <v>145</v>
      </c>
      <c r="I186" s="8"/>
      <c r="J186" s="152"/>
      <c r="K186" s="152"/>
      <c r="L186" s="152"/>
      <c r="M186" s="152"/>
      <c r="N186" s="152"/>
      <c r="O186" s="152"/>
      <c r="P186" s="152"/>
      <c r="Q186" s="152"/>
      <c r="R186" s="152"/>
      <c r="S186" s="152"/>
      <c r="T186" s="152"/>
      <c r="U186" s="152"/>
      <c r="V186" s="152"/>
      <c r="W186" s="152"/>
      <c r="X186" s="152"/>
      <c r="Y186" s="152"/>
      <c r="Z186" s="152"/>
      <c r="AA186" s="152"/>
      <c r="AB186" s="152"/>
      <c r="AC186" s="152"/>
      <c r="AD186" s="152"/>
      <c r="AE186" s="152"/>
      <c r="AF186" s="152"/>
      <c r="AG186" s="152"/>
      <c r="AH186" s="152"/>
      <c r="AI186" s="152"/>
      <c r="AJ186" s="152"/>
      <c r="AK186" s="152"/>
      <c r="AL186" s="152"/>
      <c r="AM186" s="152"/>
      <c r="AN186" s="152"/>
      <c r="AO186" s="152"/>
      <c r="AP186" s="152"/>
      <c r="AQ186" s="152"/>
      <c r="AR186" s="152"/>
      <c r="AS186" s="152"/>
      <c r="AT186" s="152"/>
      <c r="AU186" s="152"/>
      <c r="AV186" s="152"/>
      <c r="AW186" s="152"/>
      <c r="AX186" s="152"/>
      <c r="AY186" s="152"/>
      <c r="AZ186" s="152"/>
      <c r="BA186" s="152"/>
      <c r="BB186" s="152"/>
      <c r="BC186" s="152"/>
      <c r="BD186" s="152"/>
      <c r="BE186" s="152"/>
      <c r="BF186" s="152"/>
    </row>
    <row r="187" s="1" customFormat="1" customHeight="1" spans="1:58">
      <c r="A187" s="61"/>
      <c r="B187" s="55" t="s">
        <v>20</v>
      </c>
      <c r="C187" s="56">
        <v>10</v>
      </c>
      <c r="D187" s="57">
        <v>0.08</v>
      </c>
      <c r="E187" s="58">
        <v>7.25</v>
      </c>
      <c r="F187" s="59">
        <v>0.13</v>
      </c>
      <c r="G187" s="52">
        <f t="shared" si="45"/>
        <v>66.09</v>
      </c>
      <c r="H187" s="62" t="s">
        <v>146</v>
      </c>
      <c r="I187" s="8"/>
      <c r="J187" s="152"/>
      <c r="K187" s="152"/>
      <c r="L187" s="152"/>
      <c r="M187" s="152"/>
      <c r="N187" s="152"/>
      <c r="O187" s="152"/>
      <c r="P187" s="152"/>
      <c r="Q187" s="152"/>
      <c r="R187" s="152"/>
      <c r="S187" s="152"/>
      <c r="T187" s="152"/>
      <c r="U187" s="152"/>
      <c r="V187" s="152"/>
      <c r="W187" s="152"/>
      <c r="X187" s="152"/>
      <c r="Y187" s="152"/>
      <c r="Z187" s="152"/>
      <c r="AA187" s="152"/>
      <c r="AB187" s="152"/>
      <c r="AC187" s="152"/>
      <c r="AD187" s="152"/>
      <c r="AE187" s="152"/>
      <c r="AF187" s="152"/>
      <c r="AG187" s="152"/>
      <c r="AH187" s="152"/>
      <c r="AI187" s="152"/>
      <c r="AJ187" s="152"/>
      <c r="AK187" s="152"/>
      <c r="AL187" s="152"/>
      <c r="AM187" s="152"/>
      <c r="AN187" s="152"/>
      <c r="AO187" s="152"/>
      <c r="AP187" s="152"/>
      <c r="AQ187" s="152"/>
      <c r="AR187" s="152"/>
      <c r="AS187" s="152"/>
      <c r="AT187" s="152"/>
      <c r="AU187" s="152"/>
      <c r="AV187" s="152"/>
      <c r="AW187" s="152"/>
      <c r="AX187" s="152"/>
      <c r="AY187" s="152"/>
      <c r="AZ187" s="152"/>
      <c r="BA187" s="152"/>
      <c r="BB187" s="152"/>
      <c r="BC187" s="152"/>
      <c r="BD187" s="152"/>
      <c r="BE187" s="152"/>
      <c r="BF187" s="152"/>
    </row>
    <row r="188" s="1" customFormat="1" customHeight="1" spans="1:58">
      <c r="A188" s="61"/>
      <c r="B188" s="55" t="s">
        <v>18</v>
      </c>
      <c r="C188" s="56">
        <v>10</v>
      </c>
      <c r="D188" s="57">
        <v>4.09</v>
      </c>
      <c r="E188" s="58">
        <v>4.6</v>
      </c>
      <c r="F188" s="59">
        <v>0.49</v>
      </c>
      <c r="G188" s="52">
        <f t="shared" si="45"/>
        <v>59.72</v>
      </c>
      <c r="H188" s="62" t="s">
        <v>147</v>
      </c>
      <c r="I188" s="8"/>
      <c r="J188" s="152"/>
      <c r="K188" s="152"/>
      <c r="L188" s="152"/>
      <c r="M188" s="152"/>
      <c r="N188" s="152"/>
      <c r="O188" s="152"/>
      <c r="P188" s="152"/>
      <c r="Q188" s="152"/>
      <c r="R188" s="152"/>
      <c r="S188" s="152"/>
      <c r="T188" s="152"/>
      <c r="U188" s="152"/>
      <c r="V188" s="152"/>
      <c r="W188" s="152"/>
      <c r="X188" s="152"/>
      <c r="Y188" s="152"/>
      <c r="Z188" s="152"/>
      <c r="AA188" s="152"/>
      <c r="AB188" s="152"/>
      <c r="AC188" s="152"/>
      <c r="AD188" s="152"/>
      <c r="AE188" s="152"/>
      <c r="AF188" s="152"/>
      <c r="AG188" s="152"/>
      <c r="AH188" s="152"/>
      <c r="AI188" s="152"/>
      <c r="AJ188" s="152"/>
      <c r="AK188" s="152"/>
      <c r="AL188" s="152"/>
      <c r="AM188" s="152"/>
      <c r="AN188" s="152"/>
      <c r="AO188" s="152"/>
      <c r="AP188" s="152"/>
      <c r="AQ188" s="152"/>
      <c r="AR188" s="152"/>
      <c r="AS188" s="152"/>
      <c r="AT188" s="152"/>
      <c r="AU188" s="152"/>
      <c r="AV188" s="152"/>
      <c r="AW188" s="152"/>
      <c r="AX188" s="152"/>
      <c r="AY188" s="152"/>
      <c r="AZ188" s="152"/>
      <c r="BA188" s="152"/>
      <c r="BB188" s="152"/>
      <c r="BC188" s="152"/>
      <c r="BD188" s="152"/>
      <c r="BE188" s="152"/>
      <c r="BF188" s="152"/>
    </row>
    <row r="189" s="1" customFormat="1" customHeight="1" spans="1:58">
      <c r="A189" s="61"/>
      <c r="B189" s="55" t="s">
        <v>22</v>
      </c>
      <c r="C189" s="191">
        <v>50</v>
      </c>
      <c r="D189" s="57">
        <v>3.04</v>
      </c>
      <c r="E189" s="58">
        <v>0.36</v>
      </c>
      <c r="F189" s="59">
        <v>18.48</v>
      </c>
      <c r="G189" s="52">
        <f t="shared" si="45"/>
        <v>89.32</v>
      </c>
      <c r="H189" s="62" t="s">
        <v>23</v>
      </c>
      <c r="I189" s="8"/>
      <c r="J189" s="152"/>
      <c r="K189" s="152"/>
      <c r="L189" s="152"/>
      <c r="M189" s="152"/>
      <c r="N189" s="152"/>
      <c r="O189" s="152"/>
      <c r="P189" s="152"/>
      <c r="Q189" s="152"/>
      <c r="R189" s="152"/>
      <c r="S189" s="152"/>
      <c r="T189" s="152"/>
      <c r="U189" s="152"/>
      <c r="V189" s="152"/>
      <c r="W189" s="152"/>
      <c r="X189" s="152"/>
      <c r="Y189" s="152"/>
      <c r="Z189" s="152"/>
      <c r="AA189" s="152"/>
      <c r="AB189" s="152"/>
      <c r="AC189" s="152"/>
      <c r="AD189" s="152"/>
      <c r="AE189" s="152"/>
      <c r="AF189" s="152"/>
      <c r="AG189" s="152"/>
      <c r="AH189" s="152"/>
      <c r="AI189" s="152"/>
      <c r="AJ189" s="152"/>
      <c r="AK189" s="152"/>
      <c r="AL189" s="152"/>
      <c r="AM189" s="152"/>
      <c r="AN189" s="152"/>
      <c r="AO189" s="152"/>
      <c r="AP189" s="152"/>
      <c r="AQ189" s="152"/>
      <c r="AR189" s="152"/>
      <c r="AS189" s="152"/>
      <c r="AT189" s="152"/>
      <c r="AU189" s="152"/>
      <c r="AV189" s="152"/>
      <c r="AW189" s="152"/>
      <c r="AX189" s="152"/>
      <c r="AY189" s="152"/>
      <c r="AZ189" s="152"/>
      <c r="BA189" s="152"/>
      <c r="BB189" s="152"/>
      <c r="BC189" s="152"/>
      <c r="BD189" s="152"/>
      <c r="BE189" s="152"/>
      <c r="BF189" s="152"/>
    </row>
    <row r="190" s="1" customFormat="1" customHeight="1" spans="1:58">
      <c r="A190" s="181"/>
      <c r="B190" s="89" t="s">
        <v>24</v>
      </c>
      <c r="C190" s="90">
        <v>150</v>
      </c>
      <c r="D190" s="91">
        <v>0.6</v>
      </c>
      <c r="E190" s="92">
        <v>0.6</v>
      </c>
      <c r="F190" s="93">
        <v>14.7</v>
      </c>
      <c r="G190" s="52">
        <f t="shared" si="45"/>
        <v>66.6</v>
      </c>
      <c r="H190" s="179" t="s">
        <v>23</v>
      </c>
      <c r="I190" s="8"/>
      <c r="J190" s="152"/>
      <c r="K190" s="152"/>
      <c r="L190" s="152"/>
      <c r="M190" s="152"/>
      <c r="N190" s="152"/>
      <c r="O190" s="152"/>
      <c r="P190" s="152"/>
      <c r="Q190" s="152"/>
      <c r="R190" s="152"/>
      <c r="S190" s="152"/>
      <c r="T190" s="152"/>
      <c r="U190" s="152"/>
      <c r="V190" s="152"/>
      <c r="W190" s="152"/>
      <c r="X190" s="152"/>
      <c r="Y190" s="152"/>
      <c r="Z190" s="152"/>
      <c r="AA190" s="152"/>
      <c r="AB190" s="152"/>
      <c r="AC190" s="152"/>
      <c r="AD190" s="152"/>
      <c r="AE190" s="152"/>
      <c r="AF190" s="152"/>
      <c r="AG190" s="152"/>
      <c r="AH190" s="152"/>
      <c r="AI190" s="152"/>
      <c r="AJ190" s="152"/>
      <c r="AK190" s="152"/>
      <c r="AL190" s="152"/>
      <c r="AM190" s="152"/>
      <c r="AN190" s="152"/>
      <c r="AO190" s="152"/>
      <c r="AP190" s="152"/>
      <c r="AQ190" s="152"/>
      <c r="AR190" s="152"/>
      <c r="AS190" s="152"/>
      <c r="AT190" s="152"/>
      <c r="AU190" s="152"/>
      <c r="AV190" s="152"/>
      <c r="AW190" s="152"/>
      <c r="AX190" s="152"/>
      <c r="AY190" s="152"/>
      <c r="AZ190" s="152"/>
      <c r="BA190" s="152"/>
      <c r="BB190" s="152"/>
      <c r="BC190" s="152"/>
      <c r="BD190" s="152"/>
      <c r="BE190" s="152"/>
      <c r="BF190" s="152"/>
    </row>
    <row r="191" s="1" customFormat="1" customHeight="1" spans="1:58">
      <c r="A191" s="120" t="s">
        <v>25</v>
      </c>
      <c r="B191" s="141"/>
      <c r="C191" s="209">
        <f>SUM(C185:C190)</f>
        <v>625</v>
      </c>
      <c r="D191" s="143">
        <f t="shared" ref="D191:G191" si="46">SUM(D185:D190)</f>
        <v>15.37</v>
      </c>
      <c r="E191" s="144">
        <f t="shared" si="46"/>
        <v>20.95</v>
      </c>
      <c r="F191" s="145">
        <f t="shared" si="46"/>
        <v>80.03</v>
      </c>
      <c r="G191" s="146">
        <f t="shared" si="46"/>
        <v>570.15</v>
      </c>
      <c r="H191" s="76"/>
      <c r="I191" s="153"/>
      <c r="J191" s="152"/>
      <c r="K191" s="152"/>
      <c r="L191" s="152"/>
      <c r="M191" s="152"/>
      <c r="N191" s="152"/>
      <c r="O191" s="152"/>
      <c r="P191" s="152"/>
      <c r="Q191" s="152"/>
      <c r="R191" s="152"/>
      <c r="S191" s="152"/>
      <c r="T191" s="152"/>
      <c r="U191" s="152"/>
      <c r="V191" s="152"/>
      <c r="W191" s="152"/>
      <c r="X191" s="152"/>
      <c r="Y191" s="152"/>
      <c r="Z191" s="152"/>
      <c r="AA191" s="152"/>
      <c r="AB191" s="152"/>
      <c r="AC191" s="152"/>
      <c r="AD191" s="152"/>
      <c r="AE191" s="152"/>
      <c r="AF191" s="152"/>
      <c r="AG191" s="152"/>
      <c r="AH191" s="152"/>
      <c r="AI191" s="152"/>
      <c r="AJ191" s="152"/>
      <c r="AK191" s="152"/>
      <c r="AL191" s="152"/>
      <c r="AM191" s="152"/>
      <c r="AN191" s="152"/>
      <c r="AO191" s="152"/>
      <c r="AP191" s="152"/>
      <c r="AQ191" s="152"/>
      <c r="AR191" s="152"/>
      <c r="AS191" s="152"/>
      <c r="AT191" s="152"/>
      <c r="AU191" s="152"/>
      <c r="AV191" s="152"/>
      <c r="AW191" s="152"/>
      <c r="AX191" s="152"/>
      <c r="AY191" s="152"/>
      <c r="AZ191" s="152"/>
      <c r="BA191" s="152"/>
      <c r="BB191" s="152"/>
      <c r="BC191" s="152"/>
      <c r="BD191" s="152"/>
      <c r="BE191" s="152"/>
      <c r="BF191" s="152"/>
    </row>
    <row r="192" ht="17.25" customHeight="1" spans="1:17">
      <c r="A192" s="147" t="s">
        <v>26</v>
      </c>
      <c r="B192" s="124"/>
      <c r="C192" s="124"/>
      <c r="D192" s="79"/>
      <c r="E192" s="79"/>
      <c r="F192" s="80"/>
      <c r="G192" s="80"/>
      <c r="H192" s="76"/>
      <c r="I192" s="8"/>
      <c r="J192" s="153"/>
      <c r="K192" s="3"/>
      <c r="L192" s="3"/>
      <c r="M192" s="3"/>
      <c r="N192" s="3"/>
      <c r="O192" s="3"/>
      <c r="P192" s="3"/>
      <c r="Q192" s="3"/>
    </row>
    <row r="193" s="1" customFormat="1" customHeight="1" spans="1:58">
      <c r="A193" s="207"/>
      <c r="B193" s="82" t="s">
        <v>207</v>
      </c>
      <c r="C193" s="83">
        <v>250</v>
      </c>
      <c r="D193" s="84">
        <v>4.82</v>
      </c>
      <c r="E193" s="85">
        <v>4.9</v>
      </c>
      <c r="F193" s="86">
        <v>12.72</v>
      </c>
      <c r="G193" s="52">
        <f t="shared" ref="G193:G198" si="47">(D193*4)+(E193*9)+(F193*4)</f>
        <v>114.26</v>
      </c>
      <c r="H193" s="87" t="s">
        <v>71</v>
      </c>
      <c r="I193" s="8"/>
      <c r="J193" s="152"/>
      <c r="K193" s="152"/>
      <c r="L193" s="152"/>
      <c r="M193" s="152"/>
      <c r="N193" s="152"/>
      <c r="O193" s="152"/>
      <c r="P193" s="152"/>
      <c r="Q193" s="152"/>
      <c r="R193" s="152"/>
      <c r="S193" s="152"/>
      <c r="T193" s="152"/>
      <c r="U193" s="152"/>
      <c r="V193" s="152"/>
      <c r="W193" s="152"/>
      <c r="X193" s="152"/>
      <c r="Y193" s="152"/>
      <c r="Z193" s="152"/>
      <c r="AA193" s="152"/>
      <c r="AB193" s="152"/>
      <c r="AC193" s="152"/>
      <c r="AD193" s="152"/>
      <c r="AE193" s="152"/>
      <c r="AF193" s="152"/>
      <c r="AG193" s="152"/>
      <c r="AH193" s="152"/>
      <c r="AI193" s="152"/>
      <c r="AJ193" s="152"/>
      <c r="AK193" s="152"/>
      <c r="AL193" s="152"/>
      <c r="AM193" s="152"/>
      <c r="AN193" s="152"/>
      <c r="AO193" s="152"/>
      <c r="AP193" s="152"/>
      <c r="AQ193" s="152"/>
      <c r="AR193" s="152"/>
      <c r="AS193" s="152"/>
      <c r="AT193" s="152"/>
      <c r="AU193" s="152"/>
      <c r="AV193" s="152"/>
      <c r="AW193" s="152"/>
      <c r="AX193" s="152"/>
      <c r="AY193" s="152"/>
      <c r="AZ193" s="152"/>
      <c r="BA193" s="152"/>
      <c r="BB193" s="152"/>
      <c r="BC193" s="152"/>
      <c r="BD193" s="152"/>
      <c r="BE193" s="152"/>
      <c r="BF193" s="152"/>
    </row>
    <row r="194" s="1" customFormat="1" customHeight="1" spans="1:58">
      <c r="A194" s="61"/>
      <c r="B194" s="55" t="s">
        <v>208</v>
      </c>
      <c r="C194" s="56">
        <v>100</v>
      </c>
      <c r="D194" s="57">
        <v>5.52</v>
      </c>
      <c r="E194" s="58">
        <v>5.27</v>
      </c>
      <c r="F194" s="59">
        <v>6.01</v>
      </c>
      <c r="G194" s="52">
        <f t="shared" si="47"/>
        <v>93.55</v>
      </c>
      <c r="H194" s="62" t="s">
        <v>151</v>
      </c>
      <c r="I194" s="8"/>
      <c r="J194" s="152"/>
      <c r="K194" s="152"/>
      <c r="L194" s="152"/>
      <c r="M194" s="152"/>
      <c r="N194" s="152"/>
      <c r="O194" s="152"/>
      <c r="P194" s="152"/>
      <c r="Q194" s="152"/>
      <c r="R194" s="152"/>
      <c r="S194" s="152"/>
      <c r="T194" s="152"/>
      <c r="U194" s="152"/>
      <c r="V194" s="152"/>
      <c r="W194" s="152"/>
      <c r="X194" s="152"/>
      <c r="Y194" s="152"/>
      <c r="Z194" s="152"/>
      <c r="AA194" s="152"/>
      <c r="AB194" s="152"/>
      <c r="AC194" s="152"/>
      <c r="AD194" s="152"/>
      <c r="AE194" s="152"/>
      <c r="AF194" s="152"/>
      <c r="AG194" s="152"/>
      <c r="AH194" s="152"/>
      <c r="AI194" s="152"/>
      <c r="AJ194" s="152"/>
      <c r="AK194" s="152"/>
      <c r="AL194" s="152"/>
      <c r="AM194" s="152"/>
      <c r="AN194" s="152"/>
      <c r="AO194" s="152"/>
      <c r="AP194" s="152"/>
      <c r="AQ194" s="152"/>
      <c r="AR194" s="152"/>
      <c r="AS194" s="152"/>
      <c r="AT194" s="152"/>
      <c r="AU194" s="152"/>
      <c r="AV194" s="152"/>
      <c r="AW194" s="152"/>
      <c r="AX194" s="152"/>
      <c r="AY194" s="152"/>
      <c r="AZ194" s="152"/>
      <c r="BA194" s="152"/>
      <c r="BB194" s="152"/>
      <c r="BC194" s="152"/>
      <c r="BD194" s="152"/>
      <c r="BE194" s="152"/>
      <c r="BF194" s="152"/>
    </row>
    <row r="195" s="1" customFormat="1" customHeight="1" spans="1:58">
      <c r="A195" s="61"/>
      <c r="B195" s="55" t="s">
        <v>152</v>
      </c>
      <c r="C195" s="56">
        <v>200</v>
      </c>
      <c r="D195" s="57">
        <v>10.2</v>
      </c>
      <c r="E195" s="58">
        <v>7.3</v>
      </c>
      <c r="F195" s="59">
        <v>46.3</v>
      </c>
      <c r="G195" s="52">
        <f t="shared" si="47"/>
        <v>291.7</v>
      </c>
      <c r="H195" s="62" t="s">
        <v>99</v>
      </c>
      <c r="I195" s="8"/>
      <c r="J195" s="152"/>
      <c r="K195" s="152"/>
      <c r="L195" s="152"/>
      <c r="M195" s="152"/>
      <c r="N195" s="152"/>
      <c r="O195" s="152"/>
      <c r="P195" s="152"/>
      <c r="Q195" s="152"/>
      <c r="R195" s="152"/>
      <c r="S195" s="152"/>
      <c r="T195" s="152"/>
      <c r="U195" s="152"/>
      <c r="V195" s="152"/>
      <c r="W195" s="152"/>
      <c r="X195" s="152"/>
      <c r="Y195" s="152"/>
      <c r="Z195" s="152"/>
      <c r="AA195" s="152"/>
      <c r="AB195" s="152"/>
      <c r="AC195" s="152"/>
      <c r="AD195" s="152"/>
      <c r="AE195" s="152"/>
      <c r="AF195" s="152"/>
      <c r="AG195" s="152"/>
      <c r="AH195" s="152"/>
      <c r="AI195" s="152"/>
      <c r="AJ195" s="152"/>
      <c r="AK195" s="152"/>
      <c r="AL195" s="152"/>
      <c r="AM195" s="152"/>
      <c r="AN195" s="152"/>
      <c r="AO195" s="152"/>
      <c r="AP195" s="152"/>
      <c r="AQ195" s="152"/>
      <c r="AR195" s="152"/>
      <c r="AS195" s="152"/>
      <c r="AT195" s="152"/>
      <c r="AU195" s="152"/>
      <c r="AV195" s="152"/>
      <c r="AW195" s="152"/>
      <c r="AX195" s="152"/>
      <c r="AY195" s="152"/>
      <c r="AZ195" s="152"/>
      <c r="BA195" s="152"/>
      <c r="BB195" s="152"/>
      <c r="BC195" s="152"/>
      <c r="BD195" s="152"/>
      <c r="BE195" s="152"/>
      <c r="BF195" s="152"/>
    </row>
    <row r="196" s="1" customFormat="1" customHeight="1" spans="1:58">
      <c r="A196" s="61"/>
      <c r="B196" s="55" t="s">
        <v>34</v>
      </c>
      <c r="C196" s="56">
        <v>100</v>
      </c>
      <c r="D196" s="57">
        <v>1</v>
      </c>
      <c r="E196" s="58">
        <v>4.5</v>
      </c>
      <c r="F196" s="59">
        <v>4.25</v>
      </c>
      <c r="G196" s="52">
        <f t="shared" si="47"/>
        <v>61.5</v>
      </c>
      <c r="H196" s="62" t="s">
        <v>153</v>
      </c>
      <c r="I196" s="8"/>
      <c r="J196" s="152"/>
      <c r="K196" s="152"/>
      <c r="L196" s="152"/>
      <c r="M196" s="152"/>
      <c r="N196" s="152"/>
      <c r="O196" s="152"/>
      <c r="P196" s="152"/>
      <c r="Q196" s="152"/>
      <c r="R196" s="152"/>
      <c r="S196" s="152"/>
      <c r="T196" s="152"/>
      <c r="U196" s="152"/>
      <c r="V196" s="152"/>
      <c r="W196" s="152"/>
      <c r="X196" s="152"/>
      <c r="Y196" s="152"/>
      <c r="Z196" s="152"/>
      <c r="AA196" s="152"/>
      <c r="AB196" s="152"/>
      <c r="AC196" s="152"/>
      <c r="AD196" s="152"/>
      <c r="AE196" s="152"/>
      <c r="AF196" s="152"/>
      <c r="AG196" s="152"/>
      <c r="AH196" s="152"/>
      <c r="AI196" s="152"/>
      <c r="AJ196" s="152"/>
      <c r="AK196" s="152"/>
      <c r="AL196" s="152"/>
      <c r="AM196" s="152"/>
      <c r="AN196" s="152"/>
      <c r="AO196" s="152"/>
      <c r="AP196" s="152"/>
      <c r="AQ196" s="152"/>
      <c r="AR196" s="152"/>
      <c r="AS196" s="152"/>
      <c r="AT196" s="152"/>
      <c r="AU196" s="152"/>
      <c r="AV196" s="152"/>
      <c r="AW196" s="152"/>
      <c r="AX196" s="152"/>
      <c r="AY196" s="152"/>
      <c r="AZ196" s="152"/>
      <c r="BA196" s="152"/>
      <c r="BB196" s="152"/>
      <c r="BC196" s="152"/>
      <c r="BD196" s="152"/>
      <c r="BE196" s="152"/>
      <c r="BF196" s="152"/>
    </row>
    <row r="197" s="1" customFormat="1" customHeight="1" spans="1:58">
      <c r="A197" s="61"/>
      <c r="B197" s="55" t="s">
        <v>36</v>
      </c>
      <c r="C197" s="56" t="s">
        <v>37</v>
      </c>
      <c r="D197" s="57">
        <v>3.95</v>
      </c>
      <c r="E197" s="58">
        <v>0.5</v>
      </c>
      <c r="F197" s="59">
        <v>24.15</v>
      </c>
      <c r="G197" s="52">
        <f t="shared" si="47"/>
        <v>116.9</v>
      </c>
      <c r="H197" s="62" t="s">
        <v>23</v>
      </c>
      <c r="I197" s="8"/>
      <c r="J197" s="152"/>
      <c r="K197" s="152"/>
      <c r="L197" s="152"/>
      <c r="M197" s="152"/>
      <c r="N197" s="152"/>
      <c r="O197" s="152"/>
      <c r="P197" s="152"/>
      <c r="Q197" s="152"/>
      <c r="R197" s="152"/>
      <c r="S197" s="152"/>
      <c r="T197" s="152"/>
      <c r="U197" s="152"/>
      <c r="V197" s="152"/>
      <c r="W197" s="152"/>
      <c r="X197" s="152"/>
      <c r="Y197" s="152"/>
      <c r="Z197" s="152"/>
      <c r="AA197" s="152"/>
      <c r="AB197" s="152"/>
      <c r="AC197" s="152"/>
      <c r="AD197" s="152"/>
      <c r="AE197" s="152"/>
      <c r="AF197" s="152"/>
      <c r="AG197" s="152"/>
      <c r="AH197" s="152"/>
      <c r="AI197" s="152"/>
      <c r="AJ197" s="152"/>
      <c r="AK197" s="152"/>
      <c r="AL197" s="152"/>
      <c r="AM197" s="152"/>
      <c r="AN197" s="152"/>
      <c r="AO197" s="152"/>
      <c r="AP197" s="152"/>
      <c r="AQ197" s="152"/>
      <c r="AR197" s="152"/>
      <c r="AS197" s="152"/>
      <c r="AT197" s="152"/>
      <c r="AU197" s="152"/>
      <c r="AV197" s="152"/>
      <c r="AW197" s="152"/>
      <c r="AX197" s="152"/>
      <c r="AY197" s="152"/>
      <c r="AZ197" s="152"/>
      <c r="BA197" s="152"/>
      <c r="BB197" s="152"/>
      <c r="BC197" s="152"/>
      <c r="BD197" s="152"/>
      <c r="BE197" s="152"/>
      <c r="BF197" s="152"/>
    </row>
    <row r="198" s="1" customFormat="1" customHeight="1" spans="1:58">
      <c r="A198" s="88"/>
      <c r="B198" s="89" t="s">
        <v>93</v>
      </c>
      <c r="C198" s="90">
        <v>200</v>
      </c>
      <c r="D198" s="91">
        <v>0.14</v>
      </c>
      <c r="E198" s="92">
        <v>0.04</v>
      </c>
      <c r="F198" s="93">
        <v>27.3</v>
      </c>
      <c r="G198" s="52">
        <f t="shared" si="47"/>
        <v>110.12</v>
      </c>
      <c r="H198" s="68" t="s">
        <v>154</v>
      </c>
      <c r="I198" s="8"/>
      <c r="J198" s="152"/>
      <c r="K198" s="152"/>
      <c r="L198" s="152"/>
      <c r="M198" s="152"/>
      <c r="N198" s="152"/>
      <c r="O198" s="152"/>
      <c r="P198" s="152"/>
      <c r="Q198" s="152"/>
      <c r="R198" s="152"/>
      <c r="S198" s="152"/>
      <c r="T198" s="152"/>
      <c r="U198" s="152"/>
      <c r="V198" s="152"/>
      <c r="W198" s="152"/>
      <c r="X198" s="152"/>
      <c r="Y198" s="152"/>
      <c r="Z198" s="152"/>
      <c r="AA198" s="152"/>
      <c r="AB198" s="152"/>
      <c r="AC198" s="152"/>
      <c r="AD198" s="152"/>
      <c r="AE198" s="152"/>
      <c r="AF198" s="152"/>
      <c r="AG198" s="152"/>
      <c r="AH198" s="152"/>
      <c r="AI198" s="152"/>
      <c r="AJ198" s="152"/>
      <c r="AK198" s="152"/>
      <c r="AL198" s="152"/>
      <c r="AM198" s="152"/>
      <c r="AN198" s="152"/>
      <c r="AO198" s="152"/>
      <c r="AP198" s="152"/>
      <c r="AQ198" s="152"/>
      <c r="AR198" s="152"/>
      <c r="AS198" s="152"/>
      <c r="AT198" s="152"/>
      <c r="AU198" s="152"/>
      <c r="AV198" s="152"/>
      <c r="AW198" s="152"/>
      <c r="AX198" s="152"/>
      <c r="AY198" s="152"/>
      <c r="AZ198" s="152"/>
      <c r="BA198" s="152"/>
      <c r="BB198" s="152"/>
      <c r="BC198" s="152"/>
      <c r="BD198" s="152"/>
      <c r="BE198" s="152"/>
      <c r="BF198" s="152"/>
    </row>
    <row r="199" s="1" customFormat="1" customHeight="1" spans="1:58">
      <c r="A199" s="126" t="s">
        <v>25</v>
      </c>
      <c r="B199" s="70"/>
      <c r="C199" s="182">
        <f>SUM(C193:C198)+100</f>
        <v>950</v>
      </c>
      <c r="D199" s="200">
        <f>SUM(D193:D198)</f>
        <v>25.63</v>
      </c>
      <c r="E199" s="201">
        <f t="shared" ref="E199:G199" si="48">SUM(E193:E198)</f>
        <v>22.51</v>
      </c>
      <c r="F199" s="202">
        <f t="shared" si="48"/>
        <v>120.73</v>
      </c>
      <c r="G199" s="203">
        <f t="shared" si="48"/>
        <v>788.03</v>
      </c>
      <c r="H199" s="76"/>
      <c r="I199" s="8"/>
      <c r="J199" s="152"/>
      <c r="K199" s="152"/>
      <c r="L199" s="152"/>
      <c r="M199" s="152"/>
      <c r="N199" s="152"/>
      <c r="O199" s="152"/>
      <c r="P199" s="152"/>
      <c r="Q199" s="152"/>
      <c r="R199" s="152"/>
      <c r="S199" s="152"/>
      <c r="T199" s="152"/>
      <c r="U199" s="152"/>
      <c r="V199" s="152"/>
      <c r="W199" s="152"/>
      <c r="X199" s="152"/>
      <c r="Y199" s="152"/>
      <c r="Z199" s="152"/>
      <c r="AA199" s="152"/>
      <c r="AB199" s="152"/>
      <c r="AC199" s="152"/>
      <c r="AD199" s="152"/>
      <c r="AE199" s="152"/>
      <c r="AF199" s="152"/>
      <c r="AG199" s="152"/>
      <c r="AH199" s="152"/>
      <c r="AI199" s="152"/>
      <c r="AJ199" s="152"/>
      <c r="AK199" s="152"/>
      <c r="AL199" s="152"/>
      <c r="AM199" s="152"/>
      <c r="AN199" s="152"/>
      <c r="AO199" s="152"/>
      <c r="AP199" s="152"/>
      <c r="AQ199" s="152"/>
      <c r="AR199" s="152"/>
      <c r="AS199" s="152"/>
      <c r="AT199" s="152"/>
      <c r="AU199" s="152"/>
      <c r="AV199" s="152"/>
      <c r="AW199" s="152"/>
      <c r="AX199" s="152"/>
      <c r="AY199" s="152"/>
      <c r="AZ199" s="152"/>
      <c r="BA199" s="152"/>
      <c r="BB199" s="152"/>
      <c r="BC199" s="152"/>
      <c r="BD199" s="152"/>
      <c r="BE199" s="152"/>
      <c r="BF199" s="152"/>
    </row>
    <row r="200" s="1" customFormat="1" customHeight="1" spans="1:58">
      <c r="A200" s="128" t="s">
        <v>40</v>
      </c>
      <c r="B200" s="129"/>
      <c r="C200" s="95">
        <f>C199+C191</f>
        <v>1575</v>
      </c>
      <c r="D200" s="96">
        <f t="shared" ref="D200:G200" si="49">D199+D191</f>
        <v>41</v>
      </c>
      <c r="E200" s="97">
        <f t="shared" si="49"/>
        <v>43.46</v>
      </c>
      <c r="F200" s="98">
        <f t="shared" si="49"/>
        <v>200.76</v>
      </c>
      <c r="G200" s="99">
        <f t="shared" si="49"/>
        <v>1358.18</v>
      </c>
      <c r="H200" s="76"/>
      <c r="I200" s="8"/>
      <c r="J200" s="152"/>
      <c r="K200" s="152"/>
      <c r="L200" s="152"/>
      <c r="M200" s="152"/>
      <c r="N200" s="152"/>
      <c r="O200" s="152"/>
      <c r="P200" s="152"/>
      <c r="Q200" s="152"/>
      <c r="R200" s="152"/>
      <c r="S200" s="152"/>
      <c r="T200" s="152"/>
      <c r="U200" s="152"/>
      <c r="V200" s="152"/>
      <c r="W200" s="152"/>
      <c r="X200" s="152"/>
      <c r="Y200" s="152"/>
      <c r="Z200" s="152"/>
      <c r="AA200" s="152"/>
      <c r="AB200" s="152"/>
      <c r="AC200" s="152"/>
      <c r="AD200" s="152"/>
      <c r="AE200" s="152"/>
      <c r="AF200" s="152"/>
      <c r="AG200" s="152"/>
      <c r="AH200" s="152"/>
      <c r="AI200" s="152"/>
      <c r="AJ200" s="152"/>
      <c r="AK200" s="152"/>
      <c r="AL200" s="152"/>
      <c r="AM200" s="152"/>
      <c r="AN200" s="152"/>
      <c r="AO200" s="152"/>
      <c r="AP200" s="152"/>
      <c r="AQ200" s="152"/>
      <c r="AR200" s="152"/>
      <c r="AS200" s="152"/>
      <c r="AT200" s="152"/>
      <c r="AU200" s="152"/>
      <c r="AV200" s="152"/>
      <c r="AW200" s="152"/>
      <c r="AX200" s="152"/>
      <c r="AY200" s="152"/>
      <c r="AZ200" s="152"/>
      <c r="BA200" s="152"/>
      <c r="BB200" s="152"/>
      <c r="BC200" s="152"/>
      <c r="BD200" s="152"/>
      <c r="BE200" s="152"/>
      <c r="BF200" s="152"/>
    </row>
    <row r="201" s="1" customFormat="1" customHeight="1" spans="1:58">
      <c r="A201" s="100"/>
      <c r="B201" s="101"/>
      <c r="C201" s="106"/>
      <c r="D201" s="171"/>
      <c r="E201" s="171"/>
      <c r="F201" s="171"/>
      <c r="G201" s="171"/>
      <c r="H201" s="76"/>
      <c r="I201" s="8"/>
      <c r="J201" s="152"/>
      <c r="K201" s="152"/>
      <c r="L201" s="152"/>
      <c r="M201" s="152"/>
      <c r="N201" s="152"/>
      <c r="O201" s="152"/>
      <c r="P201" s="152"/>
      <c r="Q201" s="152"/>
      <c r="R201" s="152"/>
      <c r="S201" s="152"/>
      <c r="T201" s="152"/>
      <c r="U201" s="152"/>
      <c r="V201" s="152"/>
      <c r="W201" s="152"/>
      <c r="X201" s="152"/>
      <c r="Y201" s="152"/>
      <c r="Z201" s="152"/>
      <c r="AA201" s="152"/>
      <c r="AB201" s="152"/>
      <c r="AC201" s="152"/>
      <c r="AD201" s="152"/>
      <c r="AE201" s="152"/>
      <c r="AF201" s="152"/>
      <c r="AG201" s="152"/>
      <c r="AH201" s="152"/>
      <c r="AI201" s="152"/>
      <c r="AJ201" s="152"/>
      <c r="AK201" s="152"/>
      <c r="AL201" s="152"/>
      <c r="AM201" s="152"/>
      <c r="AN201" s="152"/>
      <c r="AO201" s="152"/>
      <c r="AP201" s="152"/>
      <c r="AQ201" s="152"/>
      <c r="AR201" s="152"/>
      <c r="AS201" s="152"/>
      <c r="AT201" s="152"/>
      <c r="AU201" s="152"/>
      <c r="AV201" s="152"/>
      <c r="AW201" s="152"/>
      <c r="AX201" s="152"/>
      <c r="AY201" s="152"/>
      <c r="AZ201" s="152"/>
      <c r="BA201" s="152"/>
      <c r="BB201" s="152"/>
      <c r="BC201" s="152"/>
      <c r="BD201" s="152"/>
      <c r="BE201" s="152"/>
      <c r="BF201" s="152"/>
    </row>
    <row r="202" s="1" customFormat="1" customHeight="1" spans="1:65">
      <c r="A202" s="216" t="s">
        <v>155</v>
      </c>
      <c r="B202" s="110"/>
      <c r="C202" s="217"/>
      <c r="D202" s="218">
        <f t="shared" ref="D202:F202" si="50">D200+D181+D163+D146+D128+D109+D90+D72+D52+D34</f>
        <v>565.351166666667</v>
      </c>
      <c r="E202" s="218">
        <f t="shared" si="50"/>
        <v>462.355</v>
      </c>
      <c r="F202" s="218">
        <f t="shared" si="50"/>
        <v>2699.94875</v>
      </c>
      <c r="G202" s="219">
        <f t="shared" ref="G202" si="51">(D202*4)+(E202*9)+(F202*4)</f>
        <v>17222.3946666667</v>
      </c>
      <c r="H202" s="220"/>
      <c r="I202" s="223"/>
      <c r="J202" s="223"/>
      <c r="K202" s="223"/>
      <c r="L202" s="223"/>
      <c r="M202" s="223"/>
      <c r="N202" s="223"/>
      <c r="O202" s="223"/>
      <c r="P202" s="8"/>
      <c r="Q202" s="152"/>
      <c r="R202" s="152"/>
      <c r="S202" s="152"/>
      <c r="T202" s="152"/>
      <c r="U202" s="152"/>
      <c r="V202" s="152"/>
      <c r="W202" s="152"/>
      <c r="X202" s="152"/>
      <c r="Y202" s="152"/>
      <c r="Z202" s="152"/>
      <c r="AA202" s="152"/>
      <c r="AB202" s="152"/>
      <c r="AC202" s="152"/>
      <c r="AD202" s="152"/>
      <c r="AE202" s="152"/>
      <c r="AF202" s="152"/>
      <c r="AG202" s="152"/>
      <c r="AH202" s="152"/>
      <c r="AI202" s="152"/>
      <c r="AJ202" s="152"/>
      <c r="AK202" s="152"/>
      <c r="AL202" s="152"/>
      <c r="AM202" s="152"/>
      <c r="AN202" s="152"/>
      <c r="AO202" s="152"/>
      <c r="AP202" s="152"/>
      <c r="AQ202" s="152"/>
      <c r="AR202" s="152"/>
      <c r="AS202" s="152"/>
      <c r="AT202" s="152"/>
      <c r="AU202" s="152"/>
      <c r="AV202" s="152"/>
      <c r="AW202" s="152"/>
      <c r="AX202" s="152"/>
      <c r="AY202" s="152"/>
      <c r="AZ202" s="152"/>
      <c r="BA202" s="152"/>
      <c r="BB202" s="152"/>
      <c r="BC202" s="152"/>
      <c r="BD202" s="152"/>
      <c r="BE202" s="152"/>
      <c r="BF202" s="152"/>
      <c r="BG202" s="152"/>
      <c r="BH202" s="152"/>
      <c r="BI202" s="152"/>
      <c r="BJ202" s="152"/>
      <c r="BK202" s="152"/>
      <c r="BL202" s="152"/>
      <c r="BM202" s="152"/>
    </row>
    <row r="203" s="1" customFormat="1" ht="7.5" customHeight="1" spans="1:65">
      <c r="A203" s="221"/>
      <c r="B203" s="136"/>
      <c r="C203" s="136"/>
      <c r="D203" s="222"/>
      <c r="E203" s="222"/>
      <c r="F203" s="222"/>
      <c r="G203" s="222"/>
      <c r="H203" s="223"/>
      <c r="I203" s="223"/>
      <c r="J203" s="223"/>
      <c r="K203" s="223"/>
      <c r="L203" s="223"/>
      <c r="M203" s="223"/>
      <c r="N203" s="223"/>
      <c r="O203" s="223"/>
      <c r="P203" s="8"/>
      <c r="Q203" s="152"/>
      <c r="R203" s="152"/>
      <c r="S203" s="152"/>
      <c r="T203" s="152"/>
      <c r="U203" s="152"/>
      <c r="V203" s="152"/>
      <c r="W203" s="152"/>
      <c r="X203" s="152"/>
      <c r="Y203" s="152"/>
      <c r="Z203" s="152"/>
      <c r="AA203" s="152"/>
      <c r="AB203" s="152"/>
      <c r="AC203" s="152"/>
      <c r="AD203" s="152"/>
      <c r="AE203" s="152"/>
      <c r="AF203" s="152"/>
      <c r="AG203" s="152"/>
      <c r="AH203" s="152"/>
      <c r="AI203" s="152"/>
      <c r="AJ203" s="152"/>
      <c r="AK203" s="152"/>
      <c r="AL203" s="152"/>
      <c r="AM203" s="152"/>
      <c r="AN203" s="152"/>
      <c r="AO203" s="152"/>
      <c r="AP203" s="152"/>
      <c r="AQ203" s="152"/>
      <c r="AR203" s="152"/>
      <c r="AS203" s="152"/>
      <c r="AT203" s="152"/>
      <c r="AU203" s="152"/>
      <c r="AV203" s="152"/>
      <c r="AW203" s="152"/>
      <c r="AX203" s="152"/>
      <c r="AY203" s="152"/>
      <c r="AZ203" s="152"/>
      <c r="BA203" s="152"/>
      <c r="BB203" s="152"/>
      <c r="BC203" s="152"/>
      <c r="BD203" s="152"/>
      <c r="BE203" s="152"/>
      <c r="BF203" s="152"/>
      <c r="BG203" s="152"/>
      <c r="BH203" s="152"/>
      <c r="BI203" s="152"/>
      <c r="BJ203" s="152"/>
      <c r="BK203" s="152"/>
      <c r="BL203" s="152"/>
      <c r="BM203" s="152"/>
    </row>
    <row r="204" s="1" customFormat="1" ht="14.25" customHeight="1" spans="1:65">
      <c r="A204" s="224" t="s">
        <v>156</v>
      </c>
      <c r="B204" s="225"/>
      <c r="C204" s="226"/>
      <c r="D204" s="227"/>
      <c r="E204" s="227"/>
      <c r="F204" s="227"/>
      <c r="G204" s="227"/>
      <c r="H204" s="223"/>
      <c r="I204" s="223"/>
      <c r="J204" s="223"/>
      <c r="K204" s="223"/>
      <c r="L204" s="223"/>
      <c r="M204" s="223"/>
      <c r="N204" s="223"/>
      <c r="O204" s="223"/>
      <c r="P204" s="8"/>
      <c r="Q204" s="152"/>
      <c r="R204" s="152"/>
      <c r="S204" s="152"/>
      <c r="T204" s="152"/>
      <c r="U204" s="152"/>
      <c r="V204" s="152"/>
      <c r="W204" s="152"/>
      <c r="X204" s="152"/>
      <c r="Y204" s="152"/>
      <c r="Z204" s="152"/>
      <c r="AA204" s="152"/>
      <c r="AB204" s="152"/>
      <c r="AC204" s="152"/>
      <c r="AD204" s="152"/>
      <c r="AE204" s="152"/>
      <c r="AF204" s="152"/>
      <c r="AG204" s="152"/>
      <c r="AH204" s="152"/>
      <c r="AI204" s="152"/>
      <c r="AJ204" s="152"/>
      <c r="AK204" s="152"/>
      <c r="AL204" s="152"/>
      <c r="AM204" s="152"/>
      <c r="AN204" s="152"/>
      <c r="AO204" s="152"/>
      <c r="AP204" s="152"/>
      <c r="AQ204" s="152"/>
      <c r="AR204" s="152"/>
      <c r="AS204" s="152"/>
      <c r="AT204" s="152"/>
      <c r="AU204" s="152"/>
      <c r="AV204" s="152"/>
      <c r="AW204" s="152"/>
      <c r="AX204" s="152"/>
      <c r="AY204" s="152"/>
      <c r="AZ204" s="152"/>
      <c r="BA204" s="152"/>
      <c r="BB204" s="152"/>
      <c r="BC204" s="152"/>
      <c r="BD204" s="152"/>
      <c r="BE204" s="152"/>
      <c r="BF204" s="152"/>
      <c r="BG204" s="152"/>
      <c r="BH204" s="152"/>
      <c r="BI204" s="152"/>
      <c r="BJ204" s="152"/>
      <c r="BK204" s="152"/>
      <c r="BL204" s="152"/>
      <c r="BM204" s="152"/>
    </row>
    <row r="205" s="1" customFormat="1" ht="14.25" customHeight="1" spans="1:65">
      <c r="A205" s="224" t="s">
        <v>157</v>
      </c>
      <c r="B205" s="225"/>
      <c r="C205" s="226"/>
      <c r="D205" s="227"/>
      <c r="E205" s="227"/>
      <c r="F205" s="227"/>
      <c r="G205" s="227"/>
      <c r="H205" s="223"/>
      <c r="I205" s="223"/>
      <c r="J205" s="223"/>
      <c r="K205" s="223"/>
      <c r="L205" s="223"/>
      <c r="M205" s="223"/>
      <c r="N205" s="223"/>
      <c r="O205" s="223"/>
      <c r="P205" s="8"/>
      <c r="Q205" s="152"/>
      <c r="R205" s="152"/>
      <c r="S205" s="152"/>
      <c r="T205" s="152"/>
      <c r="U205" s="152"/>
      <c r="V205" s="152"/>
      <c r="W205" s="152"/>
      <c r="X205" s="152"/>
      <c r="Y205" s="152"/>
      <c r="Z205" s="152"/>
      <c r="AA205" s="152"/>
      <c r="AB205" s="152"/>
      <c r="AC205" s="152"/>
      <c r="AD205" s="152"/>
      <c r="AE205" s="152"/>
      <c r="AF205" s="152"/>
      <c r="AG205" s="152"/>
      <c r="AH205" s="152"/>
      <c r="AI205" s="152"/>
      <c r="AJ205" s="152"/>
      <c r="AK205" s="152"/>
      <c r="AL205" s="152"/>
      <c r="AM205" s="152"/>
      <c r="AN205" s="152"/>
      <c r="AO205" s="152"/>
      <c r="AP205" s="152"/>
      <c r="AQ205" s="152"/>
      <c r="AR205" s="152"/>
      <c r="AS205" s="152"/>
      <c r="AT205" s="152"/>
      <c r="AU205" s="152"/>
      <c r="AV205" s="152"/>
      <c r="AW205" s="152"/>
      <c r="AX205" s="152"/>
      <c r="AY205" s="152"/>
      <c r="AZ205" s="152"/>
      <c r="BA205" s="152"/>
      <c r="BB205" s="152"/>
      <c r="BC205" s="152"/>
      <c r="BD205" s="152"/>
      <c r="BE205" s="152"/>
      <c r="BF205" s="152"/>
      <c r="BG205" s="152"/>
      <c r="BH205" s="152"/>
      <c r="BI205" s="152"/>
      <c r="BJ205" s="152"/>
      <c r="BK205" s="152"/>
      <c r="BL205" s="152"/>
      <c r="BM205" s="152"/>
    </row>
    <row r="206" s="1" customFormat="1" ht="14.25" customHeight="1" spans="1:65">
      <c r="A206" s="224" t="s">
        <v>158</v>
      </c>
      <c r="B206" s="225"/>
      <c r="C206" s="226"/>
      <c r="D206" s="227"/>
      <c r="E206" s="227"/>
      <c r="F206" s="227"/>
      <c r="G206" s="227"/>
      <c r="H206" s="223"/>
      <c r="I206" s="223"/>
      <c r="J206" s="223"/>
      <c r="K206" s="223"/>
      <c r="L206" s="223"/>
      <c r="M206" s="223"/>
      <c r="N206" s="223"/>
      <c r="O206" s="223"/>
      <c r="P206" s="8"/>
      <c r="Q206" s="152"/>
      <c r="R206" s="152"/>
      <c r="S206" s="152"/>
      <c r="T206" s="152"/>
      <c r="U206" s="152"/>
      <c r="V206" s="152"/>
      <c r="W206" s="152"/>
      <c r="X206" s="152"/>
      <c r="Y206" s="152"/>
      <c r="Z206" s="152"/>
      <c r="AA206" s="152"/>
      <c r="AB206" s="152"/>
      <c r="AC206" s="152"/>
      <c r="AD206" s="152"/>
      <c r="AE206" s="152"/>
      <c r="AF206" s="152"/>
      <c r="AG206" s="152"/>
      <c r="AH206" s="152"/>
      <c r="AI206" s="152"/>
      <c r="AJ206" s="152"/>
      <c r="AK206" s="152"/>
      <c r="AL206" s="152"/>
      <c r="AM206" s="152"/>
      <c r="AN206" s="152"/>
      <c r="AO206" s="152"/>
      <c r="AP206" s="152"/>
      <c r="AQ206" s="152"/>
      <c r="AR206" s="152"/>
      <c r="AS206" s="152"/>
      <c r="AT206" s="152"/>
      <c r="AU206" s="152"/>
      <c r="AV206" s="152"/>
      <c r="AW206" s="152"/>
      <c r="AX206" s="152"/>
      <c r="AY206" s="152"/>
      <c r="AZ206" s="152"/>
      <c r="BA206" s="152"/>
      <c r="BB206" s="152"/>
      <c r="BC206" s="152"/>
      <c r="BD206" s="152"/>
      <c r="BE206" s="152"/>
      <c r="BF206" s="152"/>
      <c r="BG206" s="152"/>
      <c r="BH206" s="152"/>
      <c r="BI206" s="152"/>
      <c r="BJ206" s="152"/>
      <c r="BK206" s="152"/>
      <c r="BL206" s="152"/>
      <c r="BM206" s="152"/>
    </row>
    <row r="207" s="1" customFormat="1" ht="14.25" customHeight="1" spans="1:65">
      <c r="A207" s="224" t="s">
        <v>159</v>
      </c>
      <c r="B207" s="225"/>
      <c r="C207" s="226"/>
      <c r="D207" s="227"/>
      <c r="E207" s="227"/>
      <c r="F207" s="227"/>
      <c r="G207" s="227"/>
      <c r="H207" s="223"/>
      <c r="I207" s="223"/>
      <c r="J207" s="223"/>
      <c r="K207" s="223"/>
      <c r="L207" s="223"/>
      <c r="M207" s="223"/>
      <c r="N207" s="223"/>
      <c r="O207" s="223"/>
      <c r="P207" s="8"/>
      <c r="Q207" s="152"/>
      <c r="R207" s="152"/>
      <c r="S207" s="152"/>
      <c r="T207" s="152"/>
      <c r="U207" s="152"/>
      <c r="V207" s="152"/>
      <c r="W207" s="152"/>
      <c r="X207" s="152"/>
      <c r="Y207" s="152"/>
      <c r="Z207" s="152"/>
      <c r="AA207" s="152"/>
      <c r="AB207" s="152"/>
      <c r="AC207" s="152"/>
      <c r="AD207" s="152"/>
      <c r="AE207" s="152"/>
      <c r="AF207" s="152"/>
      <c r="AG207" s="152"/>
      <c r="AH207" s="152"/>
      <c r="AI207" s="152"/>
      <c r="AJ207" s="152"/>
      <c r="AK207" s="152"/>
      <c r="AL207" s="152"/>
      <c r="AM207" s="152"/>
      <c r="AN207" s="152"/>
      <c r="AO207" s="152"/>
      <c r="AP207" s="152"/>
      <c r="AQ207" s="152"/>
      <c r="AR207" s="152"/>
      <c r="AS207" s="152"/>
      <c r="AT207" s="152"/>
      <c r="AU207" s="152"/>
      <c r="AV207" s="152"/>
      <c r="AW207" s="152"/>
      <c r="AX207" s="152"/>
      <c r="AY207" s="152"/>
      <c r="AZ207" s="152"/>
      <c r="BA207" s="152"/>
      <c r="BB207" s="152"/>
      <c r="BC207" s="152"/>
      <c r="BD207" s="152"/>
      <c r="BE207" s="152"/>
      <c r="BF207" s="152"/>
      <c r="BG207" s="152"/>
      <c r="BH207" s="152"/>
      <c r="BI207" s="152"/>
      <c r="BJ207" s="152"/>
      <c r="BK207" s="152"/>
      <c r="BL207" s="152"/>
      <c r="BM207" s="152"/>
    </row>
    <row r="208" s="1" customFormat="1" ht="14.25" customHeight="1" spans="1:65">
      <c r="A208" s="224" t="s">
        <v>160</v>
      </c>
      <c r="B208" s="225"/>
      <c r="C208" s="226"/>
      <c r="D208" s="227"/>
      <c r="E208" s="227"/>
      <c r="F208" s="227"/>
      <c r="G208" s="227"/>
      <c r="H208" s="6"/>
      <c r="I208" s="6"/>
      <c r="J208" s="6"/>
      <c r="K208" s="6"/>
      <c r="L208" s="6"/>
      <c r="M208" s="6"/>
      <c r="N208" s="6"/>
      <c r="O208" s="6"/>
      <c r="P208" s="8"/>
      <c r="Q208" s="152"/>
      <c r="R208" s="152"/>
      <c r="S208" s="152"/>
      <c r="T208" s="152"/>
      <c r="U208" s="152"/>
      <c r="V208" s="152"/>
      <c r="W208" s="152"/>
      <c r="X208" s="152"/>
      <c r="Y208" s="152"/>
      <c r="Z208" s="152"/>
      <c r="AA208" s="152"/>
      <c r="AB208" s="152"/>
      <c r="AC208" s="152"/>
      <c r="AD208" s="152"/>
      <c r="AE208" s="152"/>
      <c r="AF208" s="152"/>
      <c r="AG208" s="152"/>
      <c r="AH208" s="152"/>
      <c r="AI208" s="152"/>
      <c r="AJ208" s="152"/>
      <c r="AK208" s="152"/>
      <c r="AL208" s="152"/>
      <c r="AM208" s="152"/>
      <c r="AN208" s="152"/>
      <c r="AO208" s="152"/>
      <c r="AP208" s="152"/>
      <c r="AQ208" s="152"/>
      <c r="AR208" s="152"/>
      <c r="AS208" s="152"/>
      <c r="AT208" s="152"/>
      <c r="AU208" s="152"/>
      <c r="AV208" s="152"/>
      <c r="AW208" s="152"/>
      <c r="AX208" s="152"/>
      <c r="AY208" s="152"/>
      <c r="AZ208" s="152"/>
      <c r="BA208" s="152"/>
      <c r="BB208" s="152"/>
      <c r="BC208" s="152"/>
      <c r="BD208" s="152"/>
      <c r="BE208" s="152"/>
      <c r="BF208" s="152"/>
      <c r="BG208" s="152"/>
      <c r="BH208" s="152"/>
      <c r="BI208" s="152"/>
      <c r="BJ208" s="152"/>
      <c r="BK208" s="152"/>
      <c r="BL208" s="152"/>
      <c r="BM208" s="152"/>
    </row>
    <row r="209" s="1" customFormat="1" ht="14.25" customHeight="1" spans="1:65">
      <c r="A209" s="224" t="s">
        <v>161</v>
      </c>
      <c r="B209" s="225"/>
      <c r="C209" s="226"/>
      <c r="D209" s="227"/>
      <c r="E209" s="227"/>
      <c r="F209" s="227"/>
      <c r="G209" s="227"/>
      <c r="H209" s="6"/>
      <c r="I209" s="6"/>
      <c r="J209" s="6"/>
      <c r="K209" s="6"/>
      <c r="L209" s="6"/>
      <c r="M209" s="6"/>
      <c r="N209" s="6"/>
      <c r="O209" s="6"/>
      <c r="P209" s="8" t="s">
        <v>162</v>
      </c>
      <c r="Q209" s="152"/>
      <c r="R209" s="152"/>
      <c r="S209" s="152"/>
      <c r="T209" s="152"/>
      <c r="U209" s="152"/>
      <c r="V209" s="152"/>
      <c r="W209" s="152"/>
      <c r="X209" s="152"/>
      <c r="Y209" s="152"/>
      <c r="Z209" s="152"/>
      <c r="AA209" s="152"/>
      <c r="AB209" s="152"/>
      <c r="AC209" s="152"/>
      <c r="AD209" s="152"/>
      <c r="AE209" s="152"/>
      <c r="AF209" s="152"/>
      <c r="AG209" s="152"/>
      <c r="AH209" s="152"/>
      <c r="AI209" s="152"/>
      <c r="AJ209" s="152"/>
      <c r="AK209" s="152"/>
      <c r="AL209" s="152"/>
      <c r="AM209" s="152"/>
      <c r="AN209" s="152"/>
      <c r="AO209" s="152"/>
      <c r="AP209" s="152"/>
      <c r="AQ209" s="152"/>
      <c r="AR209" s="152"/>
      <c r="AS209" s="152"/>
      <c r="AT209" s="152"/>
      <c r="AU209" s="152"/>
      <c r="AV209" s="152"/>
      <c r="AW209" s="152"/>
      <c r="AX209" s="152"/>
      <c r="AY209" s="152"/>
      <c r="AZ209" s="152"/>
      <c r="BA209" s="152"/>
      <c r="BB209" s="152"/>
      <c r="BC209" s="152"/>
      <c r="BD209" s="152"/>
      <c r="BE209" s="152"/>
      <c r="BF209" s="152"/>
      <c r="BG209" s="152"/>
      <c r="BH209" s="152"/>
      <c r="BI209" s="152"/>
      <c r="BJ209" s="152"/>
      <c r="BK209" s="152"/>
      <c r="BL209" s="152"/>
      <c r="BM209" s="152"/>
    </row>
    <row r="210" customHeight="1" spans="16:16">
      <c r="P210" s="8"/>
    </row>
    <row r="211" customHeight="1" spans="16:16">
      <c r="P211" s="8"/>
    </row>
    <row r="212" customHeight="1" spans="16:16">
      <c r="P212" s="8"/>
    </row>
  </sheetData>
  <mergeCells count="53">
    <mergeCell ref="K2:P2"/>
    <mergeCell ref="J3:P3"/>
    <mergeCell ref="J4:P4"/>
    <mergeCell ref="J5:P5"/>
    <mergeCell ref="A9:P9"/>
    <mergeCell ref="A10:P10"/>
    <mergeCell ref="A11:P11"/>
    <mergeCell ref="B12:N12"/>
    <mergeCell ref="D14:F14"/>
    <mergeCell ref="A25:B25"/>
    <mergeCell ref="A33:B33"/>
    <mergeCell ref="A34:B34"/>
    <mergeCell ref="A35:C35"/>
    <mergeCell ref="A43:B43"/>
    <mergeCell ref="A51:B51"/>
    <mergeCell ref="A52:B52"/>
    <mergeCell ref="A53:C53"/>
    <mergeCell ref="A63:B63"/>
    <mergeCell ref="A71:B71"/>
    <mergeCell ref="A72:B72"/>
    <mergeCell ref="A73:C73"/>
    <mergeCell ref="A82:B82"/>
    <mergeCell ref="A89:B89"/>
    <mergeCell ref="A90:B90"/>
    <mergeCell ref="A91:C91"/>
    <mergeCell ref="A100:B100"/>
    <mergeCell ref="A108:B108"/>
    <mergeCell ref="A109:B109"/>
    <mergeCell ref="A110:C110"/>
    <mergeCell ref="A120:B120"/>
    <mergeCell ref="A127:B127"/>
    <mergeCell ref="A128:B128"/>
    <mergeCell ref="A129:C129"/>
    <mergeCell ref="A137:B137"/>
    <mergeCell ref="A145:B145"/>
    <mergeCell ref="A146:B146"/>
    <mergeCell ref="A147:C147"/>
    <mergeCell ref="A155:B155"/>
    <mergeCell ref="A162:B162"/>
    <mergeCell ref="A163:B163"/>
    <mergeCell ref="A164:C164"/>
    <mergeCell ref="A173:B173"/>
    <mergeCell ref="A180:B180"/>
    <mergeCell ref="A181:B181"/>
    <mergeCell ref="A182:C182"/>
    <mergeCell ref="A191:B191"/>
    <mergeCell ref="A199:B199"/>
    <mergeCell ref="A200:B200"/>
    <mergeCell ref="A201:C201"/>
    <mergeCell ref="A202:C202"/>
    <mergeCell ref="B14:B15"/>
    <mergeCell ref="C14:C15"/>
    <mergeCell ref="G14:G15"/>
  </mergeCells>
  <pageMargins left="0.25" right="0.25" top="0.75" bottom="0.75" header="0.3" footer="0.3"/>
  <pageSetup paperSize="9" scale="82" orientation="landscape"/>
  <headerFooter/>
  <rowBreaks count="1" manualBreakCount="1">
    <brk id="175" max="15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7-11</vt:lpstr>
      <vt:lpstr>11 и ст.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2006-09-28T05:33:00Z</dcterms:created>
  <dcterms:modified xsi:type="dcterms:W3CDTF">2022-09-11T08:10:51Z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ACE83AA1257A4B938D8ECB560E30908E</vt:lpwstr>
  </property>
  <property fmtid="{D5CDD505-2E9C-101B-9397-08002B2CF9AE}" pid="3" name="KSOProductBuildVer">
    <vt:lpwstr>1049-11.2.0.11306</vt:lpwstr>
  </property>
</Properties>
</file>