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190" tabRatio="519" activeTab="2"/>
  </bookViews>
  <sheets>
    <sheet name="Энерг.Ц." sheetId="1" r:id="rId1"/>
    <sheet name="Меню зима-" sheetId="2" r:id="rId2"/>
    <sheet name="Сырьё зима" sheetId="3" r:id="rId3"/>
    <sheet name="Лист1" sheetId="4" r:id="rId4"/>
  </sheets>
  <calcPr calcId="162913" refMode="R1C1"/>
</workbook>
</file>

<file path=xl/calcChain.xml><?xml version="1.0" encoding="utf-8"?>
<calcChain xmlns="http://schemas.openxmlformats.org/spreadsheetml/2006/main">
  <c r="AG279" i="3" l="1"/>
  <c r="BF9" i="2" l="1"/>
  <c r="CT40" i="2" l="1"/>
  <c r="CS40" i="2"/>
  <c r="CR40" i="2"/>
  <c r="CQ40" i="2"/>
  <c r="BP27" i="2" l="1"/>
  <c r="AI12" i="2" l="1"/>
  <c r="AJ12" i="2"/>
  <c r="AK12" i="2"/>
  <c r="AH12" i="2"/>
  <c r="BP25" i="2" l="1"/>
  <c r="BP26" i="2"/>
  <c r="BP28" i="2"/>
  <c r="BP6" i="2"/>
  <c r="BP8" i="2"/>
  <c r="BF40" i="2"/>
  <c r="BF28" i="2"/>
  <c r="AV39" i="2"/>
  <c r="AV40" i="2"/>
  <c r="AV25" i="2"/>
  <c r="AV27" i="2"/>
  <c r="AV28" i="2"/>
  <c r="AL8" i="2"/>
  <c r="AL9" i="2"/>
  <c r="AB40" i="2"/>
  <c r="AB41" i="2"/>
  <c r="AB26" i="2"/>
  <c r="AB28" i="2"/>
  <c r="R36" i="2"/>
  <c r="R39" i="2"/>
  <c r="R25" i="2"/>
  <c r="R26" i="2"/>
  <c r="R29" i="2"/>
  <c r="R6" i="2"/>
  <c r="R9" i="2"/>
  <c r="H37" i="2"/>
  <c r="H39" i="2"/>
  <c r="H25" i="2"/>
  <c r="H26" i="2"/>
  <c r="H28" i="2"/>
  <c r="H7" i="2"/>
  <c r="H8" i="2"/>
  <c r="H10" i="2"/>
  <c r="C278" i="3"/>
  <c r="H35" i="2" l="1"/>
  <c r="H6" i="2"/>
  <c r="X42" i="2"/>
  <c r="AL35" i="2"/>
  <c r="AV37" i="2"/>
  <c r="AV7" i="2"/>
  <c r="BP35" i="2"/>
  <c r="BZ35" i="2"/>
  <c r="BZ8" i="2"/>
  <c r="BZ11" i="2"/>
  <c r="CF42" i="2"/>
  <c r="CJ41" i="2"/>
  <c r="CP42" i="2"/>
  <c r="CT41" i="2"/>
  <c r="CT7" i="2"/>
  <c r="C194" i="3"/>
  <c r="O279" i="3"/>
  <c r="C112" i="3" l="1"/>
  <c r="C93" i="3"/>
  <c r="X86" i="3"/>
  <c r="L86" i="3" l="1"/>
  <c r="K86" i="3"/>
  <c r="C27" i="3"/>
  <c r="C10" i="3" l="1"/>
  <c r="D86" i="3" l="1"/>
  <c r="C85" i="3"/>
  <c r="C231" i="3"/>
  <c r="C250" i="3"/>
  <c r="C67" i="3"/>
  <c r="Q28" i="2" l="1"/>
  <c r="P28" i="2"/>
  <c r="O28" i="2"/>
  <c r="Q10" i="2"/>
  <c r="P10" i="2"/>
  <c r="O10" i="2"/>
  <c r="R28" i="2" l="1"/>
  <c r="AL28" i="2"/>
  <c r="BC31" i="2"/>
  <c r="BD31" i="2"/>
  <c r="BE31" i="2"/>
  <c r="BG31" i="2"/>
  <c r="BB31" i="2"/>
  <c r="BZ38" i="2"/>
  <c r="BO39" i="2"/>
  <c r="BN39" i="2"/>
  <c r="BM39" i="2"/>
  <c r="BO29" i="2"/>
  <c r="BN29" i="2"/>
  <c r="BM29" i="2"/>
  <c r="BL42" i="2"/>
  <c r="BL31" i="2"/>
  <c r="CT16" i="2"/>
  <c r="X31" i="2"/>
  <c r="BP29" i="2" l="1"/>
  <c r="BP39" i="2"/>
  <c r="C58" i="3"/>
  <c r="C39" i="3"/>
  <c r="C77" i="3"/>
  <c r="C187" i="3" l="1"/>
  <c r="C161" i="3"/>
  <c r="C50" i="3"/>
  <c r="Y12" i="2" l="1"/>
  <c r="Z12" i="2"/>
  <c r="AA12" i="2"/>
  <c r="AC12" i="2"/>
  <c r="X12" i="2"/>
  <c r="AI25" i="2" l="1"/>
  <c r="AL25" i="2" s="1"/>
  <c r="R16" i="2" l="1"/>
  <c r="I38" i="2"/>
  <c r="F38" i="2"/>
  <c r="E38" i="2"/>
  <c r="C140" i="3"/>
  <c r="C270" i="3" l="1"/>
  <c r="AL26" i="2" l="1"/>
  <c r="CI36" i="2" l="1"/>
  <c r="CH36" i="2"/>
  <c r="CG36" i="2"/>
  <c r="CJ36" i="2" l="1"/>
  <c r="AL24" i="2"/>
  <c r="CJ16" i="2" l="1"/>
  <c r="AL27" i="2"/>
  <c r="BF25" i="2"/>
  <c r="BF31" i="2" s="1"/>
  <c r="BZ25" i="2"/>
  <c r="CT25" i="2"/>
  <c r="CT28" i="2"/>
  <c r="AB35" i="2"/>
  <c r="R5" i="2"/>
  <c r="AB5" i="2"/>
  <c r="AV5" i="2"/>
  <c r="AV6" i="2"/>
  <c r="AV8" i="2"/>
  <c r="BF10" i="2"/>
  <c r="CT9" i="2"/>
  <c r="BZ39" i="2"/>
  <c r="CJ40" i="2"/>
  <c r="AL40" i="2"/>
  <c r="CT36" i="2"/>
  <c r="CJ39" i="2"/>
  <c r="CT39" i="2"/>
  <c r="R23" i="2"/>
  <c r="AB12" i="2" l="1"/>
  <c r="BQ38" i="2"/>
  <c r="BN38" i="2"/>
  <c r="BM38" i="2"/>
  <c r="CA16" i="2"/>
  <c r="BY16" i="2"/>
  <c r="BX16" i="2"/>
  <c r="BW16" i="2"/>
  <c r="CU26" i="2"/>
  <c r="CS26" i="2"/>
  <c r="CR26" i="2"/>
  <c r="CQ26" i="2"/>
  <c r="AM36" i="2"/>
  <c r="AK36" i="2"/>
  <c r="AJ36" i="2"/>
  <c r="AI36" i="2"/>
  <c r="CU23" i="2"/>
  <c r="CS23" i="2"/>
  <c r="CR23" i="2"/>
  <c r="CQ23" i="2"/>
  <c r="CK27" i="2"/>
  <c r="CI27" i="2"/>
  <c r="CH27" i="2"/>
  <c r="CG27" i="2"/>
  <c r="CK25" i="2"/>
  <c r="CI25" i="2"/>
  <c r="CH25" i="2"/>
  <c r="CG25" i="2"/>
  <c r="CA36" i="2"/>
  <c r="BY36" i="2"/>
  <c r="BX36" i="2"/>
  <c r="BW36" i="2"/>
  <c r="CA27" i="2"/>
  <c r="BW27" i="2"/>
  <c r="BY10" i="2"/>
  <c r="BX10" i="2"/>
  <c r="BW10" i="2"/>
  <c r="BX5" i="2"/>
  <c r="BG16" i="2"/>
  <c r="BE16" i="2"/>
  <c r="BD16" i="2"/>
  <c r="BC16" i="2"/>
  <c r="BG7" i="2"/>
  <c r="BE7" i="2"/>
  <c r="BD7" i="2"/>
  <c r="BC7" i="2"/>
  <c r="AU38" i="2"/>
  <c r="AT38" i="2"/>
  <c r="AS38" i="2"/>
  <c r="S38" i="2"/>
  <c r="Q38" i="2"/>
  <c r="P38" i="2"/>
  <c r="O38" i="2"/>
  <c r="AC27" i="2"/>
  <c r="Y27" i="2"/>
  <c r="CG12" i="2"/>
  <c r="CK12" i="2"/>
  <c r="CF12" i="2"/>
  <c r="D173" i="3"/>
  <c r="D116" i="3"/>
  <c r="U116" i="3"/>
  <c r="F29" i="3"/>
  <c r="G29" i="3"/>
  <c r="H29" i="3"/>
  <c r="I29" i="3"/>
  <c r="J29" i="3"/>
  <c r="K29" i="3"/>
  <c r="M29" i="3"/>
  <c r="P29" i="3"/>
  <c r="Q29" i="3"/>
  <c r="R29" i="3"/>
  <c r="S29" i="3"/>
  <c r="T29" i="3"/>
  <c r="V29" i="3"/>
  <c r="W29" i="3"/>
  <c r="X29" i="3"/>
  <c r="Y29" i="3"/>
  <c r="Z29" i="3"/>
  <c r="AA29" i="3"/>
  <c r="AB29" i="3"/>
  <c r="AC29" i="3"/>
  <c r="AD29" i="3"/>
  <c r="AF29" i="3"/>
  <c r="AG29" i="3"/>
  <c r="D29" i="3"/>
  <c r="L5" i="3"/>
  <c r="L29" i="3" s="1"/>
  <c r="E29" i="3"/>
  <c r="U5" i="3"/>
  <c r="U29" i="3" s="1"/>
  <c r="N265" i="3"/>
  <c r="C168" i="3"/>
  <c r="R38" i="2" l="1"/>
  <c r="BF7" i="2"/>
  <c r="BF16" i="2"/>
  <c r="AV38" i="2"/>
  <c r="CH12" i="2"/>
  <c r="BZ36" i="2"/>
  <c r="BZ37" i="2"/>
  <c r="CJ37" i="2"/>
  <c r="CT26" i="2"/>
  <c r="CI12" i="2"/>
  <c r="CJ25" i="2"/>
  <c r="CT23" i="2"/>
  <c r="AL36" i="2"/>
  <c r="BZ10" i="2"/>
  <c r="BZ16" i="2"/>
  <c r="E251" i="3"/>
  <c r="F251" i="3"/>
  <c r="G251" i="3"/>
  <c r="H251" i="3"/>
  <c r="I251" i="3"/>
  <c r="J251" i="3"/>
  <c r="K251" i="3"/>
  <c r="L251" i="3"/>
  <c r="G279" i="3"/>
  <c r="H279" i="3"/>
  <c r="I279" i="3"/>
  <c r="J279" i="3"/>
  <c r="K279" i="3"/>
  <c r="L279" i="3"/>
  <c r="M279" i="3"/>
  <c r="P279" i="3"/>
  <c r="Q279" i="3"/>
  <c r="R279" i="3"/>
  <c r="S279" i="3"/>
  <c r="T279" i="3"/>
  <c r="U279" i="3"/>
  <c r="V279" i="3"/>
  <c r="Y279" i="3"/>
  <c r="Z279" i="3"/>
  <c r="AA279" i="3"/>
  <c r="AB279" i="3"/>
  <c r="AC279" i="3"/>
  <c r="AD279" i="3"/>
  <c r="AE279" i="3"/>
  <c r="AF279" i="3"/>
  <c r="O251" i="3"/>
  <c r="P251" i="3"/>
  <c r="Q251" i="3"/>
  <c r="R251" i="3"/>
  <c r="S251" i="3"/>
  <c r="T251" i="3"/>
  <c r="U251" i="3"/>
  <c r="V251" i="3"/>
  <c r="W251" i="3"/>
  <c r="Y251" i="3"/>
  <c r="Z251" i="3"/>
  <c r="AA251" i="3"/>
  <c r="AB251" i="3"/>
  <c r="AC251" i="3"/>
  <c r="AD251" i="3"/>
  <c r="AE251" i="3"/>
  <c r="AF251" i="3"/>
  <c r="AG251" i="3"/>
  <c r="F195" i="3"/>
  <c r="G195" i="3"/>
  <c r="H195" i="3"/>
  <c r="I195" i="3"/>
  <c r="K195" i="3"/>
  <c r="O195" i="3"/>
  <c r="P195" i="3"/>
  <c r="Q195" i="3"/>
  <c r="R195" i="3"/>
  <c r="S195" i="3"/>
  <c r="T195" i="3"/>
  <c r="V195" i="3"/>
  <c r="X195" i="3"/>
  <c r="Z195" i="3"/>
  <c r="AA195" i="3"/>
  <c r="AB195" i="3"/>
  <c r="AC195" i="3"/>
  <c r="AE195" i="3"/>
  <c r="AF195" i="3"/>
  <c r="AG195" i="3"/>
  <c r="U195" i="3"/>
  <c r="E169" i="3"/>
  <c r="F169" i="3"/>
  <c r="G169" i="3"/>
  <c r="H169" i="3"/>
  <c r="I169" i="3"/>
  <c r="J169" i="3"/>
  <c r="K169" i="3"/>
  <c r="L169" i="3"/>
  <c r="O169" i="3"/>
  <c r="P169" i="3"/>
  <c r="Q169" i="3"/>
  <c r="R169" i="3"/>
  <c r="S169" i="3"/>
  <c r="T169" i="3"/>
  <c r="U169" i="3"/>
  <c r="W169" i="3"/>
  <c r="X169" i="3"/>
  <c r="Y169" i="3"/>
  <c r="Z169" i="3"/>
  <c r="AA169" i="3"/>
  <c r="AB169" i="3"/>
  <c r="AC169" i="3"/>
  <c r="AD169" i="3"/>
  <c r="AE169" i="3"/>
  <c r="AF169" i="3"/>
  <c r="AG169" i="3"/>
  <c r="D169" i="3"/>
  <c r="E86" i="3"/>
  <c r="F86" i="3"/>
  <c r="G86" i="3"/>
  <c r="H86" i="3"/>
  <c r="I86" i="3"/>
  <c r="J86" i="3"/>
  <c r="M86" i="3"/>
  <c r="O86" i="3"/>
  <c r="P86" i="3"/>
  <c r="Q86" i="3"/>
  <c r="R86" i="3"/>
  <c r="S86" i="3"/>
  <c r="U86" i="3"/>
  <c r="V86" i="3"/>
  <c r="Y86" i="3"/>
  <c r="Z86" i="3"/>
  <c r="AA86" i="3"/>
  <c r="AB86" i="3"/>
  <c r="AC86" i="3"/>
  <c r="AE86" i="3"/>
  <c r="AF86" i="3"/>
  <c r="AG86" i="3"/>
  <c r="G59" i="3"/>
  <c r="H59" i="3"/>
  <c r="J59" i="3"/>
  <c r="K59" i="3"/>
  <c r="P59" i="3"/>
  <c r="Q59" i="3"/>
  <c r="R59" i="3"/>
  <c r="S59" i="3"/>
  <c r="T59" i="3"/>
  <c r="U59" i="3"/>
  <c r="V59" i="3"/>
  <c r="W59" i="3"/>
  <c r="Y59" i="3"/>
  <c r="Z59" i="3"/>
  <c r="AA59" i="3"/>
  <c r="AB59" i="3"/>
  <c r="AC59" i="3"/>
  <c r="AD59" i="3"/>
  <c r="AE59" i="3"/>
  <c r="AF59" i="3"/>
  <c r="AG59" i="3"/>
  <c r="M100" i="3"/>
  <c r="N29" i="3"/>
  <c r="CJ12" i="2" l="1"/>
  <c r="W266" i="3"/>
  <c r="W279" i="3" s="1"/>
  <c r="F266" i="3"/>
  <c r="AD86" i="3"/>
  <c r="T86" i="3"/>
  <c r="C103" i="3" l="1"/>
  <c r="L59" i="3"/>
  <c r="D59" i="3"/>
  <c r="L195" i="3"/>
  <c r="C259" i="3"/>
  <c r="D251" i="3"/>
  <c r="M251" i="3"/>
  <c r="C242" i="3"/>
  <c r="C205" i="3"/>
  <c r="C222" i="3"/>
  <c r="C215" i="3"/>
  <c r="C176" i="3"/>
  <c r="C150" i="3"/>
  <c r="C132" i="3"/>
  <c r="C121" i="3"/>
  <c r="C20" i="3"/>
  <c r="E105" i="3"/>
  <c r="E279" i="3" s="1"/>
  <c r="D105" i="3"/>
  <c r="F279" i="3"/>
  <c r="X279" i="3"/>
  <c r="X59" i="3" l="1"/>
  <c r="F59" i="3"/>
  <c r="D195" i="3"/>
  <c r="AD195" i="3"/>
  <c r="Y195" i="3"/>
  <c r="W195" i="3"/>
  <c r="E195" i="3"/>
  <c r="V145" i="3"/>
  <c r="V169" i="3" s="1"/>
  <c r="T128" i="3"/>
  <c r="I59" i="3"/>
  <c r="N59" i="3"/>
  <c r="M59" i="3"/>
  <c r="N211" i="3"/>
  <c r="X251" i="3"/>
  <c r="N195" i="3"/>
  <c r="M195" i="3"/>
  <c r="J195" i="3"/>
  <c r="M169" i="3"/>
  <c r="N169" i="3"/>
  <c r="N263" i="3"/>
  <c r="N279" i="3" s="1"/>
  <c r="O43" i="3"/>
  <c r="O29" i="3" l="1"/>
  <c r="O59" i="3"/>
  <c r="N86" i="3"/>
  <c r="N251" i="3"/>
  <c r="D279" i="3"/>
  <c r="CU42" i="2" l="1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AE282" i="3"/>
  <c r="AF282" i="3"/>
  <c r="AG282" i="3"/>
  <c r="E282" i="3"/>
  <c r="D282" i="3"/>
  <c r="W86" i="3"/>
  <c r="W137" i="3"/>
  <c r="E59" i="3"/>
  <c r="BN12" i="2"/>
  <c r="BQ12" i="2"/>
  <c r="BL12" i="2"/>
  <c r="BB12" i="2"/>
  <c r="AT12" i="2"/>
  <c r="AW12" i="2"/>
  <c r="AR12" i="2"/>
  <c r="CU12" i="2"/>
  <c r="CP12" i="2"/>
  <c r="BW12" i="2"/>
  <c r="BX12" i="2"/>
  <c r="BY12" i="2"/>
  <c r="BZ12" i="2"/>
  <c r="CA12" i="2"/>
  <c r="BV12" i="2"/>
  <c r="I12" i="2"/>
  <c r="D12" i="2"/>
  <c r="P12" i="2"/>
  <c r="S12" i="2"/>
  <c r="N12" i="2"/>
  <c r="BV42" i="2" l="1"/>
  <c r="BV31" i="2"/>
  <c r="BM42" i="2"/>
  <c r="BN42" i="2"/>
  <c r="BO42" i="2"/>
  <c r="BP42" i="2"/>
  <c r="BQ42" i="2"/>
  <c r="BB42" i="2"/>
  <c r="AR42" i="2"/>
  <c r="AR31" i="2"/>
  <c r="AM12" i="2"/>
  <c r="AH31" i="2"/>
  <c r="AM42" i="2"/>
  <c r="AH42" i="2"/>
  <c r="CP31" i="2"/>
  <c r="O42" i="2"/>
  <c r="P42" i="2"/>
  <c r="Q42" i="2"/>
  <c r="R42" i="2"/>
  <c r="S42" i="2"/>
  <c r="N42" i="2"/>
  <c r="N31" i="2"/>
  <c r="D42" i="2"/>
  <c r="D31" i="2"/>
  <c r="E19" i="2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D223" i="3"/>
  <c r="D113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D141" i="3"/>
  <c r="CK42" i="2" l="1"/>
  <c r="CG42" i="2"/>
  <c r="CH42" i="2"/>
  <c r="CI42" i="2"/>
  <c r="CJ42" i="2"/>
  <c r="H12" i="2"/>
  <c r="G12" i="2"/>
  <c r="F12" i="2"/>
  <c r="E12" i="2"/>
  <c r="AW42" i="2" l="1"/>
  <c r="AV42" i="2" l="1"/>
  <c r="AU42" i="2"/>
  <c r="AT42" i="2"/>
  <c r="AS42" i="2"/>
  <c r="CG19" i="2"/>
  <c r="E113" i="3" l="1"/>
  <c r="F113" i="3"/>
  <c r="G113" i="3"/>
  <c r="H113" i="3"/>
  <c r="I113" i="3"/>
  <c r="J113" i="3"/>
  <c r="J281" i="3" s="1"/>
  <c r="K113" i="3"/>
  <c r="K281" i="3" s="1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L42" i="2"/>
  <c r="AK42" i="2"/>
  <c r="AJ42" i="2"/>
  <c r="AI42" i="2"/>
  <c r="CQ42" i="2"/>
  <c r="CR42" i="2"/>
  <c r="CS42" i="2"/>
  <c r="CT42" i="2"/>
  <c r="I42" i="2"/>
  <c r="BG42" i="2"/>
  <c r="CA42" i="2"/>
  <c r="BW42" i="2" l="1"/>
  <c r="G42" i="2"/>
  <c r="BZ42" i="2"/>
  <c r="F42" i="2"/>
  <c r="BY42" i="2"/>
  <c r="BD42" i="2"/>
  <c r="E42" i="2"/>
  <c r="BX42" i="2"/>
  <c r="H42" i="2"/>
  <c r="BQ19" i="2" l="1"/>
  <c r="AL12" i="2" l="1"/>
  <c r="O31" i="2" l="1"/>
  <c r="CF31" i="2" l="1"/>
  <c r="BQ31" i="2"/>
  <c r="BP31" i="2"/>
  <c r="BO31" i="2"/>
  <c r="BN31" i="2"/>
  <c r="BM31" i="2"/>
  <c r="BY31" i="2"/>
  <c r="AC19" i="2"/>
  <c r="AB19" i="2"/>
  <c r="AA19" i="2"/>
  <c r="Z19" i="2"/>
  <c r="Y19" i="2"/>
  <c r="CK19" i="2"/>
  <c r="CH19" i="2"/>
  <c r="BD19" i="2"/>
  <c r="BC19" i="2"/>
  <c r="CI19" i="2"/>
  <c r="BE19" i="2"/>
  <c r="BG12" i="2"/>
  <c r="BP12" i="2"/>
  <c r="BO12" i="2"/>
  <c r="BM12" i="2"/>
  <c r="BD12" i="2"/>
  <c r="BX31" i="2" l="1"/>
  <c r="CK31" i="2"/>
  <c r="CK45" i="2" s="1"/>
  <c r="CU31" i="2"/>
  <c r="R12" i="2"/>
  <c r="BC12" i="2"/>
  <c r="BC42" i="2"/>
  <c r="O12" i="2"/>
  <c r="BE12" i="2"/>
  <c r="BE42" i="2"/>
  <c r="Q12" i="2"/>
  <c r="BF12" i="2"/>
  <c r="BF42" i="2"/>
  <c r="BZ31" i="2"/>
  <c r="BW31" i="2"/>
  <c r="CA31" i="2"/>
  <c r="AB31" i="2"/>
  <c r="AB42" i="2" s="1"/>
  <c r="AC31" i="2"/>
  <c r="Y31" i="2"/>
  <c r="Y42" i="2" s="1"/>
  <c r="Z31" i="2"/>
  <c r="AA31" i="2"/>
  <c r="AA42" i="2" s="1"/>
  <c r="CJ19" i="2"/>
  <c r="BF19" i="2"/>
  <c r="Z42" i="2" l="1"/>
  <c r="Z45" i="2" s="1"/>
  <c r="AC42" i="2"/>
  <c r="AC45" i="2" s="1"/>
  <c r="AA45" i="2"/>
  <c r="Y45" i="2"/>
  <c r="BE45" i="2"/>
  <c r="AB45" i="2"/>
  <c r="BD45" i="2"/>
  <c r="BF45" i="2"/>
  <c r="BC45" i="2"/>
  <c r="AV12" i="2"/>
  <c r="AU12" i="2"/>
  <c r="AS12" i="2"/>
  <c r="AT31" i="2" l="1"/>
  <c r="AL31" i="2"/>
  <c r="AV31" i="2"/>
  <c r="AK31" i="2"/>
  <c r="AU31" i="2"/>
  <c r="AS31" i="2"/>
  <c r="AM31" i="2"/>
  <c r="AW31" i="2"/>
  <c r="AI31" i="2"/>
  <c r="AJ31" i="2"/>
  <c r="AW19" i="2"/>
  <c r="AT19" i="2"/>
  <c r="AU19" i="2"/>
  <c r="AS19" i="2"/>
  <c r="AI19" i="2"/>
  <c r="AJ19" i="2"/>
  <c r="E6" i="1"/>
  <c r="C7" i="1"/>
  <c r="C6" i="1"/>
  <c r="CQ12" i="2"/>
  <c r="CR12" i="2"/>
  <c r="CS12" i="2"/>
  <c r="CT12" i="2"/>
  <c r="I31" i="2"/>
  <c r="H31" i="2"/>
  <c r="G31" i="2"/>
  <c r="F31" i="2"/>
  <c r="E31" i="2"/>
  <c r="E45" i="2" s="1"/>
  <c r="CQ31" i="2" l="1"/>
  <c r="CG31" i="2"/>
  <c r="CG45" i="2" s="1"/>
  <c r="CS31" i="2"/>
  <c r="CI31" i="2"/>
  <c r="CI45" i="2" s="1"/>
  <c r="CT31" i="2"/>
  <c r="CJ31" i="2"/>
  <c r="CJ45" i="2" s="1"/>
  <c r="CR31" i="2"/>
  <c r="CH31" i="2"/>
  <c r="CH45" i="2" s="1"/>
  <c r="AT45" i="2"/>
  <c r="AS45" i="2"/>
  <c r="AW45" i="2"/>
  <c r="AV19" i="2"/>
  <c r="AV45" i="2" s="1"/>
  <c r="AI45" i="2"/>
  <c r="AL19" i="2"/>
  <c r="AK19" i="2"/>
  <c r="AM19" i="2"/>
  <c r="S31" i="2"/>
  <c r="R31" i="2"/>
  <c r="Q31" i="2"/>
  <c r="P31" i="2"/>
  <c r="S19" i="2"/>
  <c r="R19" i="2"/>
  <c r="Q19" i="2"/>
  <c r="P19" i="2"/>
  <c r="O19" i="2"/>
  <c r="S45" i="2" l="1"/>
  <c r="AU45" i="2"/>
  <c r="AM45" i="2"/>
  <c r="AL45" i="2"/>
  <c r="AK45" i="2"/>
  <c r="AJ45" i="2"/>
  <c r="F19" i="2"/>
  <c r="G19" i="2"/>
  <c r="H19" i="2"/>
  <c r="I19" i="2"/>
  <c r="O45" i="2" l="1"/>
  <c r="R45" i="2"/>
  <c r="Q45" i="2"/>
  <c r="P45" i="2"/>
  <c r="F8" i="1"/>
  <c r="F7" i="1"/>
  <c r="F6" i="1"/>
  <c r="F5" i="1"/>
  <c r="E8" i="1"/>
  <c r="E7" i="1"/>
  <c r="E5" i="1"/>
  <c r="C8" i="1"/>
  <c r="D8" i="1"/>
  <c r="D7" i="1"/>
  <c r="D6" i="1"/>
  <c r="D5" i="1"/>
  <c r="C5" i="1"/>
  <c r="B9" i="1"/>
  <c r="CQ19" i="2"/>
  <c r="CQ45" i="2" s="1"/>
  <c r="CR19" i="2"/>
  <c r="CR45" i="2" s="1"/>
  <c r="CS19" i="2"/>
  <c r="CS45" i="2" s="1"/>
  <c r="CT19" i="2"/>
  <c r="CT45" i="2" s="1"/>
  <c r="CU19" i="2"/>
  <c r="CU45" i="2" s="1"/>
  <c r="BM19" i="2"/>
  <c r="BM45" i="2" s="1"/>
  <c r="BN19" i="2"/>
  <c r="BN45" i="2" s="1"/>
  <c r="BO19" i="2"/>
  <c r="BO45" i="2" s="1"/>
  <c r="BP19" i="2"/>
  <c r="BP45" i="2" s="1"/>
  <c r="BW19" i="2"/>
  <c r="BW45" i="2" s="1"/>
  <c r="BX19" i="2"/>
  <c r="BX45" i="2" s="1"/>
  <c r="BY19" i="2"/>
  <c r="BY45" i="2" s="1"/>
  <c r="BZ19" i="2"/>
  <c r="BZ45" i="2" s="1"/>
  <c r="CA19" i="2"/>
  <c r="CA45" i="2" s="1"/>
  <c r="F45" i="2"/>
  <c r="H45" i="2"/>
  <c r="I45" i="2"/>
  <c r="G45" i="2"/>
  <c r="D281" i="3"/>
  <c r="D284" i="3" s="1"/>
  <c r="E281" i="3"/>
  <c r="E284" i="3" s="1"/>
  <c r="F281" i="3"/>
  <c r="F284" i="3" s="1"/>
  <c r="G281" i="3"/>
  <c r="G284" i="3" s="1"/>
  <c r="H281" i="3"/>
  <c r="H284" i="3" s="1"/>
  <c r="I281" i="3"/>
  <c r="I284" i="3" s="1"/>
  <c r="J284" i="3"/>
  <c r="K284" i="3"/>
  <c r="L281" i="3"/>
  <c r="L284" i="3" s="1"/>
  <c r="M281" i="3"/>
  <c r="M284" i="3" s="1"/>
  <c r="N281" i="3"/>
  <c r="N284" i="3" s="1"/>
  <c r="O281" i="3"/>
  <c r="O284" i="3" s="1"/>
  <c r="P281" i="3"/>
  <c r="P284" i="3" s="1"/>
  <c r="Q281" i="3"/>
  <c r="Q284" i="3" s="1"/>
  <c r="R281" i="3"/>
  <c r="R284" i="3" s="1"/>
  <c r="S281" i="3"/>
  <c r="S284" i="3" s="1"/>
  <c r="T281" i="3"/>
  <c r="T284" i="3" s="1"/>
  <c r="U281" i="3"/>
  <c r="U284" i="3" s="1"/>
  <c r="V281" i="3"/>
  <c r="V284" i="3" s="1"/>
  <c r="W281" i="3"/>
  <c r="W284" i="3" s="1"/>
  <c r="Y281" i="3"/>
  <c r="Y284" i="3" s="1"/>
  <c r="Z281" i="3"/>
  <c r="Z284" i="3" s="1"/>
  <c r="AA281" i="3"/>
  <c r="AA284" i="3" s="1"/>
  <c r="AB281" i="3"/>
  <c r="AB284" i="3" s="1"/>
  <c r="AC281" i="3"/>
  <c r="AC284" i="3" s="1"/>
  <c r="AD281" i="3"/>
  <c r="AD284" i="3" s="1"/>
  <c r="AE281" i="3"/>
  <c r="AE284" i="3" s="1"/>
  <c r="AF281" i="3"/>
  <c r="AF284" i="3" s="1"/>
  <c r="AG281" i="3"/>
  <c r="AG284" i="3" s="1"/>
  <c r="X281" i="3"/>
  <c r="X284" i="3" s="1"/>
</calcChain>
</file>

<file path=xl/sharedStrings.xml><?xml version="1.0" encoding="utf-8"?>
<sst xmlns="http://schemas.openxmlformats.org/spreadsheetml/2006/main" count="774" uniqueCount="248">
  <si>
    <t>2 завтрак</t>
  </si>
  <si>
    <t>Для детей с дневным пребываанием 12 ч</t>
  </si>
  <si>
    <t>Эц</t>
  </si>
  <si>
    <t>% в т.ч.животный</t>
  </si>
  <si>
    <t>Белок, г</t>
  </si>
  <si>
    <t>Жиры, г</t>
  </si>
  <si>
    <t>Углеводы, г</t>
  </si>
  <si>
    <t>3-7 лет</t>
  </si>
  <si>
    <t>Сан ПиН 2.4.1.3049-13</t>
  </si>
  <si>
    <t>Б</t>
  </si>
  <si>
    <t>Ж</t>
  </si>
  <si>
    <t>У</t>
  </si>
  <si>
    <t>ЭЦ</t>
  </si>
  <si>
    <t>%, распределение</t>
  </si>
  <si>
    <t>Белки</t>
  </si>
  <si>
    <t>Жиры</t>
  </si>
  <si>
    <t>Углеводы</t>
  </si>
  <si>
    <t xml:space="preserve"> Завтрак</t>
  </si>
  <si>
    <t>Обед</t>
  </si>
  <si>
    <t xml:space="preserve"> Ужин (уплотнённый полдник)</t>
  </si>
  <si>
    <t>Энергетическая ценность, ккал</t>
  </si>
  <si>
    <t>Приём пищи</t>
  </si>
  <si>
    <t>Наименование блюда</t>
  </si>
  <si>
    <t>Выход блюда, г</t>
  </si>
  <si>
    <t>Пищевые вещества</t>
  </si>
  <si>
    <t>Витамин С</t>
  </si>
  <si>
    <t>№ рецептуры</t>
  </si>
  <si>
    <t>День 1</t>
  </si>
  <si>
    <t>Завтрак</t>
  </si>
  <si>
    <t>Ужин (уплотнённый полдник)</t>
  </si>
  <si>
    <t>Норма, г, не менее</t>
  </si>
  <si>
    <t>Бутерброд с маслом сливочным, с сыром российским</t>
  </si>
  <si>
    <t>Кофейный напиток с молоком</t>
  </si>
  <si>
    <t>Фактическое содержание, г</t>
  </si>
  <si>
    <t>Хлеб пшеничный</t>
  </si>
  <si>
    <t>400-550</t>
  </si>
  <si>
    <t>600-800</t>
  </si>
  <si>
    <t>ИТОГО за 1 день</t>
  </si>
  <si>
    <t>450-600</t>
  </si>
  <si>
    <t xml:space="preserve">Сыр российский </t>
  </si>
  <si>
    <t>Масло сливочное</t>
  </si>
  <si>
    <t>День 2</t>
  </si>
  <si>
    <t>Напиток витаминизированный (готовый)</t>
  </si>
  <si>
    <t>Фрукты свежие</t>
  </si>
  <si>
    <t>Пюре картофельное</t>
  </si>
  <si>
    <t>Чай с сахаром                     180/10</t>
  </si>
  <si>
    <t>День 3</t>
  </si>
  <si>
    <t>Чай с молоком                  180/10</t>
  </si>
  <si>
    <t>Каша рисовая жидкая с сахаром</t>
  </si>
  <si>
    <t>День 4</t>
  </si>
  <si>
    <t>Какао с молоком</t>
  </si>
  <si>
    <t>Кисель молочный</t>
  </si>
  <si>
    <t>Картофель отварной</t>
  </si>
  <si>
    <t>*</t>
  </si>
  <si>
    <t>№ поСб</t>
  </si>
  <si>
    <t>Название</t>
  </si>
  <si>
    <t>Выход</t>
  </si>
  <si>
    <t>сметана</t>
  </si>
  <si>
    <t>сыр твердый</t>
  </si>
  <si>
    <t>Мясо</t>
  </si>
  <si>
    <t>Птица</t>
  </si>
  <si>
    <t>Рыба</t>
  </si>
  <si>
    <t>Яйцо</t>
  </si>
  <si>
    <t>Картофель</t>
  </si>
  <si>
    <t>творог</t>
  </si>
  <si>
    <t>молоко и кисломол</t>
  </si>
  <si>
    <t>Овощи/ зелень</t>
  </si>
  <si>
    <t>Фрукты сухие</t>
  </si>
  <si>
    <t>Соки</t>
  </si>
  <si>
    <t>Напит. витам</t>
  </si>
  <si>
    <t>Хлеб ржан</t>
  </si>
  <si>
    <t>Хлеб пшенич</t>
  </si>
  <si>
    <t>Крупы, бобовые</t>
  </si>
  <si>
    <t>Макарон. Издел</t>
  </si>
  <si>
    <t>Мука пшеничн</t>
  </si>
  <si>
    <t>Масло раст</t>
  </si>
  <si>
    <t>Кондит. Изделия</t>
  </si>
  <si>
    <t>Чай</t>
  </si>
  <si>
    <t>Сахар</t>
  </si>
  <si>
    <t>Дрожжи</t>
  </si>
  <si>
    <t>Крахмал</t>
  </si>
  <si>
    <t>Соль</t>
  </si>
  <si>
    <t>Масло слив</t>
  </si>
  <si>
    <t>День 5</t>
  </si>
  <si>
    <t>Крендель сахарный</t>
  </si>
  <si>
    <t>День 6</t>
  </si>
  <si>
    <t>Итого</t>
  </si>
  <si>
    <t>День 7</t>
  </si>
  <si>
    <t>День 8</t>
  </si>
  <si>
    <t>День 9</t>
  </si>
  <si>
    <t>День 10</t>
  </si>
  <si>
    <t>Макароны отварные с маслом</t>
  </si>
  <si>
    <t>Картофель в молоке</t>
  </si>
  <si>
    <t>Каша манная жидкая с сахаром</t>
  </si>
  <si>
    <t>Сметана</t>
  </si>
  <si>
    <t>Пудинг из творога с рисом и изюмом</t>
  </si>
  <si>
    <t>*475</t>
  </si>
  <si>
    <t>ИТОГО (фактически)</t>
  </si>
  <si>
    <t>Итого (нормативное)</t>
  </si>
  <si>
    <t>Кекс "Детский"</t>
  </si>
  <si>
    <t>Компот из сушеных фруктов</t>
  </si>
  <si>
    <t>Норма на 1 день по СанПиН</t>
  </si>
  <si>
    <t>Салат из свёклы с зелёным горошком</t>
  </si>
  <si>
    <t>Салат из свёклы с яблоками</t>
  </si>
  <si>
    <t>Салат из картофеля с солёными огурцами</t>
  </si>
  <si>
    <t>Салат из квашенной капусты</t>
  </si>
  <si>
    <t>Икра овощная</t>
  </si>
  <si>
    <t>*45</t>
  </si>
  <si>
    <t>Винегрет овощной</t>
  </si>
  <si>
    <t>Салат из квашенной капусты с зёлёным горошком</t>
  </si>
  <si>
    <t>Салат из солёных огурцов с зелёным горошком</t>
  </si>
  <si>
    <t>Суп картофельный с макаронными изделиями</t>
  </si>
  <si>
    <t>Щи из квашенной капусты с картофелем</t>
  </si>
  <si>
    <t xml:space="preserve"> Борщ с квашеной капустой и картофелем</t>
  </si>
  <si>
    <t>Суп картофельный с крупой</t>
  </si>
  <si>
    <t>Мясо тушеное с овощами в соусе</t>
  </si>
  <si>
    <t>Биточки рубленые из птицы</t>
  </si>
  <si>
    <t>Котлеты рыбные любительские</t>
  </si>
  <si>
    <t>Шницель рубленый (из говядины)</t>
  </si>
  <si>
    <t>Запеканка из макарон с творогом</t>
  </si>
  <si>
    <t>Оладьи из творога</t>
  </si>
  <si>
    <t>Фрикадельки из птицы</t>
  </si>
  <si>
    <t>Суфле мясное из говядины с тыквой</t>
  </si>
  <si>
    <t>Тефтели рыбные тушёные</t>
  </si>
  <si>
    <t>Кнели рыбные</t>
  </si>
  <si>
    <t>Сырники из творога с картофелем</t>
  </si>
  <si>
    <t>Горшек зелёный консервированный</t>
  </si>
  <si>
    <t>Суфле из отварного мяса с рисом</t>
  </si>
  <si>
    <t xml:space="preserve">Голубцы ленивые </t>
  </si>
  <si>
    <t>Суп с макаронными изделиями</t>
  </si>
  <si>
    <t>* 216</t>
  </si>
  <si>
    <t>*714</t>
  </si>
  <si>
    <t>Рагу овощное с картофелем</t>
  </si>
  <si>
    <t>Птица отварная (с соусом сметанным) 65/25</t>
  </si>
  <si>
    <t>Булочка "Осенняя"</t>
  </si>
  <si>
    <t>Булочка обогащенная с изюмом</t>
  </si>
  <si>
    <t xml:space="preserve">Каша рассыпчатая </t>
  </si>
  <si>
    <t>Каша гречнево-пшёная жидкая с сахаром</t>
  </si>
  <si>
    <t>Каша пшённая жидкая с сахаром</t>
  </si>
  <si>
    <t xml:space="preserve">Булочка "Розовая" </t>
  </si>
  <si>
    <t>Салат из кукурузы (консервированной)</t>
  </si>
  <si>
    <t xml:space="preserve">Запеканка из творога с морковью </t>
  </si>
  <si>
    <t>Зразы куриные с омлетом и овощами</t>
  </si>
  <si>
    <t xml:space="preserve">Соус сметанный с томатом </t>
  </si>
  <si>
    <t>Отклонение (+/- 5 %)</t>
  </si>
  <si>
    <t>Суп  молочный с тыквой и крупой</t>
  </si>
  <si>
    <t xml:space="preserve">Фрукты </t>
  </si>
  <si>
    <t>Кисель из сока</t>
  </si>
  <si>
    <t>Соус фруктовый</t>
  </si>
  <si>
    <t>Суп картофельный с бобовыми</t>
  </si>
  <si>
    <t>Сельдь с луком</t>
  </si>
  <si>
    <t>Фрукты</t>
  </si>
  <si>
    <t xml:space="preserve">Салат из моркови с яблоками </t>
  </si>
  <si>
    <t>Пюре картофельное с морковью</t>
  </si>
  <si>
    <t>Каша рассыпчатая</t>
  </si>
  <si>
    <t>Суп картофельный с клецками</t>
  </si>
  <si>
    <t>Молоко кипяченное</t>
  </si>
  <si>
    <t>Ватрушка с творогом</t>
  </si>
  <si>
    <t>Компот из свежих плодов</t>
  </si>
  <si>
    <t>Суп с рыбными фрикадельками</t>
  </si>
  <si>
    <t>Хлеб ржаной, ржано-пшеничный</t>
  </si>
  <si>
    <t>Молоко кипяченое</t>
  </si>
  <si>
    <t>Пирожки печеные из дрожевого теста</t>
  </si>
  <si>
    <t>Кондитерское изделие</t>
  </si>
  <si>
    <t>Напиток кисломолочный</t>
  </si>
  <si>
    <t xml:space="preserve">Сыр порциями </t>
  </si>
  <si>
    <t>Суп молочный с крупой</t>
  </si>
  <si>
    <t>Напиток  витаминизированный</t>
  </si>
  <si>
    <t>Компот  из сушеных фруктов</t>
  </si>
  <si>
    <t>Запеканка из творога с морковью     150</t>
  </si>
  <si>
    <t>Пирожки печёные из дрожжевого теста с повидлом</t>
  </si>
  <si>
    <t>Напиток  кисломолочный</t>
  </si>
  <si>
    <t xml:space="preserve">Рассольник ленинградский </t>
  </si>
  <si>
    <t>Тефтели из говядины</t>
  </si>
  <si>
    <t xml:space="preserve">Бутерброд с маслом и повидлом </t>
  </si>
  <si>
    <t>Кисель из сухофруктов</t>
  </si>
  <si>
    <t>Коржик молочный</t>
  </si>
  <si>
    <t>Напиток витаминизированный</t>
  </si>
  <si>
    <t>Капуста тушеная</t>
  </si>
  <si>
    <t>Компот из  сушеных фруктов</t>
  </si>
  <si>
    <t>Гуляш из отварной говядины  60/60</t>
  </si>
  <si>
    <t>Кисель из сока натурального</t>
  </si>
  <si>
    <t>Пирожки печеные из дрожжевого теста</t>
  </si>
  <si>
    <t>Запеканка картофельная с мясом или печенью</t>
  </si>
  <si>
    <t>Бутерброд с повидлом</t>
  </si>
  <si>
    <t>Суп молочный с  крупой</t>
  </si>
  <si>
    <t>Суп картофельный с клецками 170/10</t>
  </si>
  <si>
    <t xml:space="preserve">Пудинг из творога с рисом запеченый </t>
  </si>
  <si>
    <t>Салат из моркови с яблоками</t>
  </si>
  <si>
    <t>Коржики молочные</t>
  </si>
  <si>
    <t xml:space="preserve">Кофейный напиток с молоком </t>
  </si>
  <si>
    <t>Сыр порциями Российский</t>
  </si>
  <si>
    <t xml:space="preserve">                                                      2 завтрак</t>
  </si>
  <si>
    <t xml:space="preserve">Пирожки печёные из дрожжевого теста </t>
  </si>
  <si>
    <t>Суп молочный с тыквой и крупой</t>
  </si>
  <si>
    <t xml:space="preserve">Бутерброд с повидлом </t>
  </si>
  <si>
    <t>Сок овощной, фруктовый и ягодный</t>
  </si>
  <si>
    <t xml:space="preserve">Соус сметанный с томатом  </t>
  </si>
  <si>
    <t>Салат из свеклы с огурцами солеными</t>
  </si>
  <si>
    <t>401ё</t>
  </si>
  <si>
    <t>Сок  овощной, фруктовый и ягодный</t>
  </si>
  <si>
    <t>Бутерброд  с сыром российским</t>
  </si>
  <si>
    <t>Каша овсяная жидкая  с сахаром</t>
  </si>
  <si>
    <t>Пудинг из творога с рисом (запеченый)</t>
  </si>
  <si>
    <t xml:space="preserve">Сок  овощной, фруктовый и ягодный </t>
  </si>
  <si>
    <t>Субпродукты</t>
  </si>
  <si>
    <t>Запеканка картофельная с печенью</t>
  </si>
  <si>
    <t>Омлет паровой с мясом</t>
  </si>
  <si>
    <t>Омлет с картофелем</t>
  </si>
  <si>
    <t>Яйцо отварное</t>
  </si>
  <si>
    <t>Коф.напё</t>
  </si>
  <si>
    <t xml:space="preserve">Какао </t>
  </si>
  <si>
    <t>Омлет с морковью</t>
  </si>
  <si>
    <t>Салат  из белокочанной капусты</t>
  </si>
  <si>
    <t xml:space="preserve">Сметана </t>
  </si>
  <si>
    <t>Печень  по-стогановски  (тушеная с соусом)</t>
  </si>
  <si>
    <t>Оладьи из печени " по-Кунцевски"</t>
  </si>
  <si>
    <t>Салат из свеклы с зеленым горошком</t>
  </si>
  <si>
    <t>Салат  из картофеля с солными огурцами</t>
  </si>
  <si>
    <t>Омлет с зеленым горошком</t>
  </si>
  <si>
    <t xml:space="preserve">Борщ с квашеной капустой и картофелем </t>
  </si>
  <si>
    <t>Салат из моркови с сахаром</t>
  </si>
  <si>
    <t>Рыба, запечённая в омлете</t>
  </si>
  <si>
    <t>Оладьи из печени  "по-Кунцевски"</t>
  </si>
  <si>
    <t xml:space="preserve">Омлет с картофелем </t>
  </si>
  <si>
    <t xml:space="preserve">Борщ из квашеной капусты с картофелем </t>
  </si>
  <si>
    <t>Салат из белокочан. капусты</t>
  </si>
  <si>
    <t>Салат из картофеля с солеными оругцами</t>
  </si>
  <si>
    <t>Салат из квашеной капусты с зел.горошеом</t>
  </si>
  <si>
    <t>Печеньпо-стогановски с соусом 50/30</t>
  </si>
  <si>
    <t>День 1=10</t>
  </si>
  <si>
    <t>День 2=8</t>
  </si>
  <si>
    <t>День 3=2</t>
  </si>
  <si>
    <t>День 4=5</t>
  </si>
  <si>
    <t>День 5=6</t>
  </si>
  <si>
    <t>День 6=3</t>
  </si>
  <si>
    <t>День 7=1</t>
  </si>
  <si>
    <t>День 8=9</t>
  </si>
  <si>
    <t>День 9=4</t>
  </si>
  <si>
    <t>День 10=7</t>
  </si>
  <si>
    <t>хлеб ржаной,ржано-пшеничный</t>
  </si>
  <si>
    <t>Кисель из яблок сушеных/сухофруктов</t>
  </si>
  <si>
    <r>
      <t xml:space="preserve">Соус фруктовый </t>
    </r>
    <r>
      <rPr>
        <sz val="11"/>
        <color rgb="FFFF0000"/>
        <rFont val="Calibri"/>
        <family val="2"/>
        <charset val="204"/>
        <scheme val="minor"/>
      </rPr>
      <t>(яблочный)</t>
    </r>
  </si>
  <si>
    <t>Сырники с картофелем</t>
  </si>
  <si>
    <r>
      <t>Бутерброд с</t>
    </r>
    <r>
      <rPr>
        <sz val="11"/>
        <color rgb="FFFF0000"/>
        <rFont val="Calibri"/>
        <family val="2"/>
        <charset val="204"/>
        <scheme val="minor"/>
      </rPr>
      <t xml:space="preserve"> маслом</t>
    </r>
    <r>
      <rPr>
        <sz val="11"/>
        <rFont val="Calibri"/>
        <family val="2"/>
        <charset val="204"/>
        <scheme val="minor"/>
      </rPr>
      <t xml:space="preserve"> повидлом  25/5/15</t>
    </r>
  </si>
  <si>
    <t xml:space="preserve">Чай с сахаром                     </t>
  </si>
  <si>
    <t xml:space="preserve">Чай с сахаром                    </t>
  </si>
  <si>
    <t xml:space="preserve">Чай с молоком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</si>
</sst>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F36447"/>
      <name val="Calibri"/>
      <family val="2"/>
      <charset val="204"/>
      <scheme val="minor"/>
    </font>
    <font>
      <sz val="8"/>
      <color rgb="FFF36447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rgb="FFC00000"/>
      <name val="Calibri"/>
      <family val="2"/>
      <scheme val="minor"/>
    </font>
    <font>
      <sz val="8"/>
      <color rgb="FFC00000"/>
      <name val="Calibri"/>
      <family val="2"/>
      <charset val="204"/>
      <scheme val="minor"/>
    </font>
    <font>
      <sz val="8"/>
      <color theme="1" tint="4.9989318521683403E-2"/>
      <name val="Calibri"/>
      <family val="2"/>
      <charset val="204"/>
      <scheme val="minor"/>
    </font>
    <font>
      <sz val="8"/>
      <color theme="2" tint="-0.89999084444715716"/>
      <name val="Calibri"/>
      <family val="2"/>
      <charset val="204"/>
      <scheme val="minor"/>
    </font>
    <font>
      <sz val="8"/>
      <color theme="1" tint="4.9989318521683403E-2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0" fontId="7" fillId="2" borderId="1" xfId="0" applyFont="1" applyFill="1" applyBorder="1" applyAlignment="1">
      <alignment horizontal="center"/>
    </xf>
    <xf numFmtId="0" fontId="10" fillId="5" borderId="1" xfId="0" applyFont="1" applyFill="1" applyBorder="1"/>
    <xf numFmtId="0" fontId="12" fillId="5" borderId="1" xfId="0" applyFont="1" applyFill="1" applyBorder="1"/>
    <xf numFmtId="0" fontId="10" fillId="5" borderId="0" xfId="0" applyFont="1" applyFill="1"/>
    <xf numFmtId="0" fontId="10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right"/>
    </xf>
    <xf numFmtId="0" fontId="14" fillId="2" borderId="0" xfId="0" applyFont="1" applyFill="1"/>
    <xf numFmtId="0" fontId="12" fillId="2" borderId="1" xfId="0" applyFont="1" applyFill="1" applyBorder="1"/>
    <xf numFmtId="0" fontId="10" fillId="2" borderId="0" xfId="0" applyFont="1" applyFill="1"/>
    <xf numFmtId="0" fontId="16" fillId="2" borderId="1" xfId="0" applyFont="1" applyFill="1" applyBorder="1"/>
    <xf numFmtId="0" fontId="16" fillId="2" borderId="1" xfId="0" applyFont="1" applyFill="1" applyBorder="1" applyAlignment="1">
      <alignment horizontal="left" indent="1"/>
    </xf>
    <xf numFmtId="0" fontId="16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left" indent="1"/>
    </xf>
    <xf numFmtId="0" fontId="11" fillId="5" borderId="0" xfId="0" applyFont="1" applyFill="1"/>
    <xf numFmtId="0" fontId="14" fillId="5" borderId="1" xfId="0" applyFont="1" applyFill="1" applyBorder="1"/>
    <xf numFmtId="0" fontId="14" fillId="5" borderId="1" xfId="0" applyFont="1" applyFill="1" applyBorder="1" applyAlignment="1">
      <alignment horizontal="left" indent="1"/>
    </xf>
    <xf numFmtId="0" fontId="14" fillId="5" borderId="0" xfId="0" applyFont="1" applyFill="1"/>
    <xf numFmtId="0" fontId="11" fillId="5" borderId="1" xfId="0" applyFont="1" applyFill="1" applyBorder="1"/>
    <xf numFmtId="0" fontId="11" fillId="5" borderId="1" xfId="0" applyFont="1" applyFill="1" applyBorder="1" applyAlignment="1">
      <alignment horizontal="left" indent="1"/>
    </xf>
    <xf numFmtId="0" fontId="11" fillId="2" borderId="1" xfId="0" applyFont="1" applyFill="1" applyBorder="1"/>
    <xf numFmtId="0" fontId="11" fillId="2" borderId="0" xfId="0" applyFont="1" applyFill="1"/>
    <xf numFmtId="0" fontId="10" fillId="7" borderId="1" xfId="0" applyFont="1" applyFill="1" applyBorder="1"/>
    <xf numFmtId="0" fontId="10" fillId="7" borderId="0" xfId="0" applyFont="1" applyFill="1"/>
    <xf numFmtId="0" fontId="16" fillId="5" borderId="6" xfId="0" applyFont="1" applyFill="1" applyBorder="1"/>
    <xf numFmtId="0" fontId="16" fillId="5" borderId="5" xfId="0" applyFont="1" applyFill="1" applyBorder="1" applyAlignment="1">
      <alignment horizontal="right"/>
    </xf>
    <xf numFmtId="0" fontId="16" fillId="5" borderId="1" xfId="0" applyFont="1" applyFill="1" applyBorder="1"/>
    <xf numFmtId="0" fontId="9" fillId="7" borderId="6" xfId="0" applyFont="1" applyFill="1" applyBorder="1"/>
    <xf numFmtId="0" fontId="9" fillId="7" borderId="5" xfId="0" applyFont="1" applyFill="1" applyBorder="1" applyAlignment="1">
      <alignment horizontal="left"/>
    </xf>
    <xf numFmtId="0" fontId="9" fillId="7" borderId="1" xfId="0" applyFont="1" applyFill="1" applyBorder="1"/>
    <xf numFmtId="0" fontId="8" fillId="7" borderId="1" xfId="0" applyFont="1" applyFill="1" applyBorder="1"/>
    <xf numFmtId="0" fontId="8" fillId="7" borderId="0" xfId="0" applyFont="1" applyFill="1"/>
    <xf numFmtId="0" fontId="8" fillId="7" borderId="1" xfId="0" applyFont="1" applyFill="1" applyBorder="1" applyAlignment="1">
      <alignment horizontal="left"/>
    </xf>
    <xf numFmtId="0" fontId="8" fillId="9" borderId="1" xfId="0" applyFont="1" applyFill="1" applyBorder="1"/>
    <xf numFmtId="2" fontId="8" fillId="9" borderId="1" xfId="0" applyNumberFormat="1" applyFont="1" applyFill="1" applyBorder="1"/>
    <xf numFmtId="0" fontId="8" fillId="9" borderId="0" xfId="0" applyFont="1" applyFill="1"/>
    <xf numFmtId="0" fontId="14" fillId="7" borderId="0" xfId="0" applyFont="1" applyFill="1"/>
    <xf numFmtId="0" fontId="11" fillId="7" borderId="0" xfId="0" applyFont="1" applyFill="1"/>
    <xf numFmtId="0" fontId="18" fillId="5" borderId="1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11" fillId="0" borderId="1" xfId="0" applyFont="1" applyFill="1" applyBorder="1"/>
    <xf numFmtId="0" fontId="10" fillId="0" borderId="1" xfId="0" applyFont="1" applyFill="1" applyBorder="1"/>
    <xf numFmtId="0" fontId="10" fillId="0" borderId="0" xfId="0" applyFont="1" applyFill="1"/>
    <xf numFmtId="0" fontId="12" fillId="0" borderId="1" xfId="0" applyFont="1" applyFill="1" applyBorder="1"/>
    <xf numFmtId="0" fontId="11" fillId="0" borderId="0" xfId="0" applyFont="1" applyFill="1"/>
    <xf numFmtId="0" fontId="18" fillId="0" borderId="1" xfId="0" applyFont="1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10" fillId="0" borderId="3" xfId="0" applyFont="1" applyFill="1" applyBorder="1"/>
    <xf numFmtId="0" fontId="11" fillId="0" borderId="2" xfId="0" applyFont="1" applyFill="1" applyBorder="1"/>
    <xf numFmtId="0" fontId="20" fillId="5" borderId="1" xfId="0" applyFont="1" applyFill="1" applyBorder="1" applyAlignment="1">
      <alignment horizontal="left"/>
    </xf>
    <xf numFmtId="0" fontId="11" fillId="0" borderId="3" xfId="0" applyFont="1" applyFill="1" applyBorder="1"/>
    <xf numFmtId="0" fontId="18" fillId="0" borderId="1" xfId="0" applyFont="1" applyFill="1" applyBorder="1" applyAlignment="1">
      <alignment horizontal="left"/>
    </xf>
    <xf numFmtId="0" fontId="18" fillId="0" borderId="0" xfId="0" applyFont="1" applyFill="1"/>
    <xf numFmtId="0" fontId="12" fillId="0" borderId="0" xfId="0" applyFont="1" applyFill="1"/>
    <xf numFmtId="0" fontId="19" fillId="0" borderId="1" xfId="0" applyFont="1" applyFill="1" applyBorder="1" applyAlignment="1">
      <alignment horizontal="left"/>
    </xf>
    <xf numFmtId="0" fontId="12" fillId="0" borderId="5" xfId="0" applyFont="1" applyFill="1" applyBorder="1"/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wrapText="1"/>
    </xf>
    <xf numFmtId="0" fontId="16" fillId="8" borderId="1" xfId="0" applyFont="1" applyFill="1" applyBorder="1" applyAlignment="1">
      <alignment vertical="top" wrapText="1"/>
    </xf>
    <xf numFmtId="0" fontId="14" fillId="8" borderId="0" xfId="0" applyFont="1" applyFill="1" applyAlignment="1">
      <alignment wrapText="1"/>
    </xf>
    <xf numFmtId="0" fontId="12" fillId="0" borderId="3" xfId="0" applyFont="1" applyFill="1" applyBorder="1"/>
    <xf numFmtId="0" fontId="12" fillId="0" borderId="6" xfId="0" applyFont="1" applyFill="1" applyBorder="1"/>
    <xf numFmtId="0" fontId="13" fillId="0" borderId="0" xfId="0" applyFont="1" applyFill="1"/>
    <xf numFmtId="0" fontId="11" fillId="0" borderId="1" xfId="0" applyFont="1" applyFill="1" applyBorder="1" applyAlignment="1">
      <alignment horizontal="left" indent="1"/>
    </xf>
    <xf numFmtId="0" fontId="19" fillId="0" borderId="5" xfId="0" applyFont="1" applyFill="1" applyBorder="1" applyAlignment="1">
      <alignment horizontal="left"/>
    </xf>
    <xf numFmtId="0" fontId="10" fillId="0" borderId="0" xfId="0" applyFont="1" applyFill="1" applyBorder="1"/>
    <xf numFmtId="0" fontId="20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2" fillId="0" borderId="8" xfId="0" applyFont="1" applyFill="1" applyBorder="1"/>
    <xf numFmtId="0" fontId="11" fillId="0" borderId="8" xfId="0" applyFont="1" applyFill="1" applyBorder="1"/>
    <xf numFmtId="0" fontId="18" fillId="0" borderId="3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right"/>
    </xf>
    <xf numFmtId="2" fontId="12" fillId="0" borderId="1" xfId="0" applyNumberFormat="1" applyFont="1" applyFill="1" applyBorder="1" applyAlignment="1">
      <alignment horizontal="right"/>
    </xf>
    <xf numFmtId="0" fontId="11" fillId="0" borderId="6" xfId="0" applyFont="1" applyFill="1" applyBorder="1"/>
    <xf numFmtId="0" fontId="12" fillId="0" borderId="1" xfId="0" applyFont="1" applyFill="1" applyBorder="1" applyAlignment="1"/>
    <xf numFmtId="0" fontId="6" fillId="5" borderId="1" xfId="0" applyFont="1" applyFill="1" applyBorder="1"/>
    <xf numFmtId="0" fontId="6" fillId="0" borderId="1" xfId="0" applyFont="1" applyBorder="1"/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164" fontId="22" fillId="3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/>
    <xf numFmtId="164" fontId="6" fillId="4" borderId="1" xfId="0" applyNumberFormat="1" applyFont="1" applyFill="1" applyBorder="1"/>
    <xf numFmtId="0" fontId="23" fillId="4" borderId="1" xfId="0" applyFont="1" applyFill="1" applyBorder="1"/>
    <xf numFmtId="164" fontId="23" fillId="4" borderId="1" xfId="0" applyNumberFormat="1" applyFont="1" applyFill="1" applyBorder="1"/>
    <xf numFmtId="0" fontId="7" fillId="5" borderId="1" xfId="0" applyFont="1" applyFill="1" applyBorder="1"/>
    <xf numFmtId="0" fontId="7" fillId="0" borderId="1" xfId="0" applyFont="1" applyBorder="1"/>
    <xf numFmtId="0" fontId="6" fillId="10" borderId="1" xfId="0" applyFont="1" applyFill="1" applyBorder="1"/>
    <xf numFmtId="164" fontId="6" fillId="10" borderId="1" xfId="0" applyNumberFormat="1" applyFont="1" applyFill="1" applyBorder="1"/>
    <xf numFmtId="0" fontId="22" fillId="0" borderId="1" xfId="0" applyFont="1" applyBorder="1"/>
    <xf numFmtId="0" fontId="6" fillId="0" borderId="1" xfId="0" applyFont="1" applyFill="1" applyBorder="1"/>
    <xf numFmtId="0" fontId="23" fillId="0" borderId="1" xfId="0" applyFont="1" applyFill="1" applyBorder="1"/>
    <xf numFmtId="0" fontId="23" fillId="10" borderId="1" xfId="0" applyFont="1" applyFill="1" applyBorder="1"/>
    <xf numFmtId="164" fontId="23" fillId="10" borderId="1" xfId="0" applyNumberFormat="1" applyFont="1" applyFill="1" applyBorder="1"/>
    <xf numFmtId="2" fontId="23" fillId="10" borderId="1" xfId="0" applyNumberFormat="1" applyFont="1" applyFill="1" applyBorder="1"/>
    <xf numFmtId="0" fontId="6" fillId="0" borderId="0" xfId="0" applyFont="1" applyFill="1"/>
    <xf numFmtId="0" fontId="23" fillId="5" borderId="1" xfId="0" applyFont="1" applyFill="1" applyBorder="1"/>
    <xf numFmtId="0" fontId="23" fillId="0" borderId="1" xfId="0" applyFont="1" applyBorder="1"/>
    <xf numFmtId="0" fontId="23" fillId="0" borderId="0" xfId="0" applyFont="1" applyFill="1"/>
    <xf numFmtId="0" fontId="23" fillId="0" borderId="3" xfId="0" applyFont="1" applyFill="1" applyBorder="1"/>
    <xf numFmtId="2" fontId="6" fillId="1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8" xfId="0" applyFont="1" applyFill="1" applyBorder="1"/>
    <xf numFmtId="0" fontId="23" fillId="0" borderId="5" xfId="0" applyFont="1" applyFill="1" applyBorder="1"/>
    <xf numFmtId="164" fontId="23" fillId="0" borderId="1" xfId="0" applyNumberFormat="1" applyFont="1" applyBorder="1"/>
    <xf numFmtId="2" fontId="23" fillId="0" borderId="1" xfId="0" applyNumberFormat="1" applyFont="1" applyBorder="1"/>
    <xf numFmtId="164" fontId="6" fillId="0" borderId="1" xfId="0" applyNumberFormat="1" applyFont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23" fillId="2" borderId="1" xfId="0" applyFont="1" applyFill="1" applyBorder="1"/>
    <xf numFmtId="164" fontId="23" fillId="2" borderId="1" xfId="0" applyNumberFormat="1" applyFont="1" applyFill="1" applyBorder="1"/>
    <xf numFmtId="0" fontId="21" fillId="0" borderId="1" xfId="0" applyFont="1" applyBorder="1"/>
    <xf numFmtId="164" fontId="21" fillId="0" borderId="1" xfId="0" applyNumberFormat="1" applyFont="1" applyBorder="1"/>
    <xf numFmtId="2" fontId="23" fillId="10" borderId="1" xfId="0" applyNumberFormat="1" applyFont="1" applyFill="1" applyBorder="1" applyAlignment="1">
      <alignment horizontal="right"/>
    </xf>
    <xf numFmtId="164" fontId="6" fillId="5" borderId="1" xfId="0" applyNumberFormat="1" applyFont="1" applyFill="1" applyBorder="1"/>
    <xf numFmtId="2" fontId="23" fillId="2" borderId="1" xfId="0" applyNumberFormat="1" applyFont="1" applyFill="1" applyBorder="1"/>
    <xf numFmtId="0" fontId="21" fillId="5" borderId="1" xfId="0" applyFont="1" applyFill="1" applyBorder="1"/>
    <xf numFmtId="164" fontId="21" fillId="5" borderId="1" xfId="0" applyNumberFormat="1" applyFont="1" applyFill="1" applyBorder="1"/>
    <xf numFmtId="164" fontId="23" fillId="5" borderId="1" xfId="0" applyNumberFormat="1" applyFont="1" applyFill="1" applyBorder="1"/>
    <xf numFmtId="2" fontId="6" fillId="0" borderId="1" xfId="0" applyNumberFormat="1" applyFont="1" applyBorder="1"/>
    <xf numFmtId="2" fontId="23" fillId="5" borderId="1" xfId="0" applyNumberFormat="1" applyFont="1" applyFill="1" applyBorder="1"/>
    <xf numFmtId="2" fontId="21" fillId="5" borderId="1" xfId="0" applyNumberFormat="1" applyFont="1" applyFill="1" applyBorder="1"/>
    <xf numFmtId="0" fontId="23" fillId="0" borderId="1" xfId="0" applyFont="1" applyFill="1" applyBorder="1" applyAlignment="1"/>
    <xf numFmtId="2" fontId="6" fillId="2" borderId="1" xfId="0" applyNumberFormat="1" applyFont="1" applyFill="1" applyBorder="1"/>
    <xf numFmtId="0" fontId="23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24" fillId="0" borderId="1" xfId="0" applyFont="1" applyFill="1" applyBorder="1"/>
    <xf numFmtId="0" fontId="22" fillId="3" borderId="1" xfId="0" applyFont="1" applyFill="1" applyBorder="1" applyAlignment="1">
      <alignment horizontal="center" vertical="top" wrapText="1"/>
    </xf>
    <xf numFmtId="164" fontId="22" fillId="3" borderId="1" xfId="0" applyNumberFormat="1" applyFont="1" applyFill="1" applyBorder="1" applyAlignment="1">
      <alignment horizontal="center" vertical="top" wrapText="1"/>
    </xf>
    <xf numFmtId="0" fontId="12" fillId="5" borderId="0" xfId="0" applyFont="1" applyFill="1"/>
    <xf numFmtId="0" fontId="22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7" fillId="0" borderId="1" xfId="0" applyFont="1" applyFill="1" applyBorder="1"/>
    <xf numFmtId="0" fontId="13" fillId="0" borderId="1" xfId="0" applyFont="1" applyFill="1" applyBorder="1" applyAlignment="1">
      <alignment horizontal="right"/>
    </xf>
    <xf numFmtId="0" fontId="5" fillId="0" borderId="1" xfId="0" applyFont="1" applyBorder="1"/>
    <xf numFmtId="0" fontId="6" fillId="11" borderId="1" xfId="0" applyFont="1" applyFill="1" applyBorder="1"/>
    <xf numFmtId="0" fontId="5" fillId="11" borderId="1" xfId="0" applyFont="1" applyFill="1" applyBorder="1"/>
    <xf numFmtId="2" fontId="6" fillId="11" borderId="1" xfId="0" applyNumberFormat="1" applyFont="1" applyFill="1" applyBorder="1"/>
    <xf numFmtId="0" fontId="5" fillId="0" borderId="1" xfId="0" applyFont="1" applyFill="1" applyBorder="1"/>
    <xf numFmtId="0" fontId="4" fillId="0" borderId="0" xfId="0" applyFont="1" applyFill="1"/>
    <xf numFmtId="164" fontId="23" fillId="2" borderId="3" xfId="0" applyNumberFormat="1" applyFont="1" applyFill="1" applyBorder="1"/>
    <xf numFmtId="0" fontId="22" fillId="0" borderId="4" xfId="0" applyFont="1" applyBorder="1" applyAlignment="1">
      <alignment horizontal="center"/>
    </xf>
    <xf numFmtId="0" fontId="20" fillId="5" borderId="1" xfId="0" applyFont="1" applyFill="1" applyBorder="1"/>
    <xf numFmtId="0" fontId="3" fillId="0" borderId="1" xfId="0" applyFont="1" applyFill="1" applyBorder="1"/>
    <xf numFmtId="0" fontId="23" fillId="0" borderId="6" xfId="0" applyFont="1" applyFill="1" applyBorder="1"/>
    <xf numFmtId="0" fontId="17" fillId="0" borderId="0" xfId="0" applyFont="1" applyFill="1"/>
    <xf numFmtId="0" fontId="20" fillId="5" borderId="0" xfId="0" applyFont="1" applyFill="1"/>
    <xf numFmtId="0" fontId="2" fillId="0" borderId="1" xfId="0" applyFont="1" applyBorder="1"/>
    <xf numFmtId="0" fontId="6" fillId="12" borderId="1" xfId="0" applyFont="1" applyFill="1" applyBorder="1"/>
    <xf numFmtId="2" fontId="6" fillId="12" borderId="1" xfId="0" applyNumberFormat="1" applyFont="1" applyFill="1" applyBorder="1"/>
    <xf numFmtId="0" fontId="23" fillId="0" borderId="6" xfId="0" applyFont="1" applyBorder="1"/>
    <xf numFmtId="2" fontId="6" fillId="10" borderId="2" xfId="0" applyNumberFormat="1" applyFont="1" applyFill="1" applyBorder="1"/>
    <xf numFmtId="0" fontId="25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1" fillId="4" borderId="1" xfId="0" applyFont="1" applyFill="1" applyBorder="1"/>
    <xf numFmtId="0" fontId="26" fillId="0" borderId="1" xfId="0" applyFont="1" applyFill="1" applyBorder="1"/>
    <xf numFmtId="0" fontId="27" fillId="0" borderId="1" xfId="0" applyFont="1" applyFill="1" applyBorder="1"/>
    <xf numFmtId="0" fontId="28" fillId="0" borderId="0" xfId="0" applyFont="1" applyFill="1"/>
    <xf numFmtId="0" fontId="28" fillId="0" borderId="1" xfId="0" applyFont="1" applyFill="1" applyBorder="1"/>
    <xf numFmtId="0" fontId="29" fillId="0" borderId="1" xfId="0" applyFont="1" applyFill="1" applyBorder="1"/>
    <xf numFmtId="0" fontId="28" fillId="0" borderId="3" xfId="0" applyFont="1" applyFill="1" applyBorder="1"/>
    <xf numFmtId="0" fontId="28" fillId="5" borderId="1" xfId="0" applyFont="1" applyFill="1" applyBorder="1"/>
    <xf numFmtId="0" fontId="30" fillId="0" borderId="1" xfId="0" applyFont="1" applyFill="1" applyBorder="1"/>
    <xf numFmtId="0" fontId="26" fillId="0" borderId="3" xfId="0" applyFont="1" applyFill="1" applyBorder="1"/>
    <xf numFmtId="0" fontId="30" fillId="5" borderId="1" xfId="0" applyFont="1" applyFill="1" applyBorder="1"/>
    <xf numFmtId="0" fontId="26" fillId="5" borderId="1" xfId="0" applyFont="1" applyFill="1" applyBorder="1"/>
    <xf numFmtId="0" fontId="29" fillId="0" borderId="1" xfId="0" applyFont="1" applyFill="1" applyBorder="1" applyAlignment="1">
      <alignment wrapText="1"/>
    </xf>
    <xf numFmtId="0" fontId="29" fillId="0" borderId="0" xfId="0" applyFont="1" applyFill="1"/>
    <xf numFmtId="0" fontId="31" fillId="0" borderId="1" xfId="0" applyFont="1" applyFill="1" applyBorder="1"/>
    <xf numFmtId="0" fontId="29" fillId="0" borderId="5" xfId="0" applyFont="1" applyFill="1" applyBorder="1"/>
    <xf numFmtId="0" fontId="28" fillId="5" borderId="0" xfId="0" applyFont="1" applyFill="1"/>
    <xf numFmtId="0" fontId="31" fillId="5" borderId="1" xfId="0" applyFont="1" applyFill="1" applyBorder="1"/>
    <xf numFmtId="0" fontId="27" fillId="0" borderId="0" xfId="0" applyFont="1" applyFill="1"/>
    <xf numFmtId="0" fontId="27" fillId="5" borderId="1" xfId="0" applyFont="1" applyFill="1" applyBorder="1"/>
    <xf numFmtId="2" fontId="32" fillId="10" borderId="1" xfId="0" applyNumberFormat="1" applyFont="1" applyFill="1" applyBorder="1"/>
    <xf numFmtId="2" fontId="32" fillId="12" borderId="1" xfId="0" applyNumberFormat="1" applyFont="1" applyFill="1" applyBorder="1"/>
    <xf numFmtId="0" fontId="32" fillId="10" borderId="1" xfId="0" applyFont="1" applyFill="1" applyBorder="1"/>
    <xf numFmtId="2" fontId="32" fillId="10" borderId="1" xfId="0" applyNumberFormat="1" applyFont="1" applyFill="1" applyBorder="1" applyAlignment="1">
      <alignment horizontal="right"/>
    </xf>
    <xf numFmtId="0" fontId="32" fillId="0" borderId="1" xfId="0" applyFont="1" applyFill="1" applyBorder="1"/>
    <xf numFmtId="164" fontId="32" fillId="10" borderId="1" xfId="0" applyNumberFormat="1" applyFont="1" applyFill="1" applyBorder="1"/>
    <xf numFmtId="0" fontId="32" fillId="0" borderId="1" xfId="0" applyFont="1" applyBorder="1"/>
    <xf numFmtId="164" fontId="32" fillId="0" borderId="1" xfId="0" applyNumberFormat="1" applyFont="1" applyBorder="1"/>
    <xf numFmtId="0" fontId="23" fillId="13" borderId="1" xfId="0" applyFont="1" applyFill="1" applyBorder="1"/>
    <xf numFmtId="0" fontId="12" fillId="13" borderId="1" xfId="0" applyFont="1" applyFill="1" applyBorder="1"/>
    <xf numFmtId="0" fontId="21" fillId="0" borderId="1" xfId="0" applyFont="1" applyFill="1" applyBorder="1"/>
    <xf numFmtId="0" fontId="22" fillId="3" borderId="2" xfId="0" applyFont="1" applyFill="1" applyBorder="1" applyAlignment="1">
      <alignment horizontal="center" vertical="top" wrapText="1"/>
    </xf>
    <xf numFmtId="0" fontId="22" fillId="3" borderId="3" xfId="0" applyFont="1" applyFill="1" applyBorder="1" applyAlignment="1">
      <alignment horizontal="center" vertical="top" wrapText="1"/>
    </xf>
    <xf numFmtId="164" fontId="22" fillId="3" borderId="2" xfId="0" applyNumberFormat="1" applyFont="1" applyFill="1" applyBorder="1" applyAlignment="1">
      <alignment horizontal="center" vertical="top" wrapText="1"/>
    </xf>
    <xf numFmtId="164" fontId="22" fillId="3" borderId="3" xfId="0" applyNumberFormat="1" applyFont="1" applyFill="1" applyBorder="1" applyAlignment="1">
      <alignment horizontal="center" vertical="top" wrapText="1"/>
    </xf>
    <xf numFmtId="0" fontId="22" fillId="3" borderId="6" xfId="0" applyFont="1" applyFill="1" applyBorder="1" applyAlignment="1">
      <alignment horizontal="center" vertical="top" wrapText="1"/>
    </xf>
    <xf numFmtId="0" fontId="22" fillId="3" borderId="4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2" fillId="3" borderId="1" xfId="0" applyFont="1" applyFill="1" applyBorder="1" applyAlignment="1">
      <alignment horizontal="center" vertical="top" wrapText="1"/>
    </xf>
    <xf numFmtId="164" fontId="22" fillId="3" borderId="1" xfId="0" applyNumberFormat="1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/>
    </xf>
    <xf numFmtId="0" fontId="23" fillId="6" borderId="7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7" sqref="E7"/>
    </sheetView>
  </sheetViews>
  <sheetFormatPr defaultRowHeight="14.5" x14ac:dyDescent="0.35"/>
  <sheetData>
    <row r="1" spans="1:6" x14ac:dyDescent="0.35">
      <c r="A1" t="s">
        <v>8</v>
      </c>
    </row>
    <row r="2" spans="1:6" x14ac:dyDescent="0.35">
      <c r="B2" t="s">
        <v>1</v>
      </c>
    </row>
    <row r="4" spans="1:6" x14ac:dyDescent="0.35">
      <c r="A4" s="1"/>
      <c r="B4" s="1" t="s">
        <v>13</v>
      </c>
      <c r="C4" s="4" t="s">
        <v>14</v>
      </c>
      <c r="D4" s="4" t="s">
        <v>15</v>
      </c>
      <c r="E4" s="4" t="s">
        <v>16</v>
      </c>
      <c r="F4" s="4" t="s">
        <v>12</v>
      </c>
    </row>
    <row r="5" spans="1:6" x14ac:dyDescent="0.35">
      <c r="A5" s="2" t="s">
        <v>17</v>
      </c>
      <c r="B5" s="1">
        <v>25</v>
      </c>
      <c r="C5" s="3">
        <f>B12*B5/100</f>
        <v>13.5</v>
      </c>
      <c r="D5" s="3">
        <f>B5*B14/100</f>
        <v>15</v>
      </c>
      <c r="E5" s="3">
        <f>B15*B5/100</f>
        <v>65.25</v>
      </c>
      <c r="F5" s="3">
        <f>B5*1800/100</f>
        <v>450</v>
      </c>
    </row>
    <row r="6" spans="1:6" x14ac:dyDescent="0.35">
      <c r="A6" s="2" t="s">
        <v>0</v>
      </c>
      <c r="B6" s="1">
        <v>5</v>
      </c>
      <c r="C6" s="3">
        <f>B12*B6/100</f>
        <v>2.7</v>
      </c>
      <c r="D6" s="3">
        <f>B6*B14/100</f>
        <v>3</v>
      </c>
      <c r="E6" s="3">
        <f>B15*5/100</f>
        <v>13.05</v>
      </c>
      <c r="F6" s="3">
        <f>B6*1800/100</f>
        <v>90</v>
      </c>
    </row>
    <row r="7" spans="1:6" x14ac:dyDescent="0.35">
      <c r="A7" s="2" t="s">
        <v>18</v>
      </c>
      <c r="B7" s="1">
        <v>35</v>
      </c>
      <c r="C7" s="3">
        <f>B12*B7/100</f>
        <v>18.899999999999999</v>
      </c>
      <c r="D7" s="3">
        <f>B14*B7/100</f>
        <v>21</v>
      </c>
      <c r="E7" s="3">
        <f>B7*B15/100</f>
        <v>91.35</v>
      </c>
      <c r="F7" s="3">
        <f>B7*1800/100</f>
        <v>630</v>
      </c>
    </row>
    <row r="8" spans="1:6" x14ac:dyDescent="0.35">
      <c r="A8" s="2" t="s">
        <v>19</v>
      </c>
      <c r="B8" s="1">
        <v>35</v>
      </c>
      <c r="C8" s="3">
        <f>B8*B12/100</f>
        <v>18.899999999999999</v>
      </c>
      <c r="D8" s="3">
        <f>B8*B14/100</f>
        <v>21</v>
      </c>
      <c r="E8" s="3">
        <f>B8*B15/100</f>
        <v>91.35</v>
      </c>
      <c r="F8" s="3">
        <f>B8*1800/100</f>
        <v>630</v>
      </c>
    </row>
    <row r="9" spans="1:6" x14ac:dyDescent="0.35">
      <c r="B9">
        <f>SUM(B5:B8)</f>
        <v>100</v>
      </c>
    </row>
    <row r="11" spans="1:6" x14ac:dyDescent="0.35">
      <c r="B11" t="s">
        <v>7</v>
      </c>
    </row>
    <row r="12" spans="1:6" x14ac:dyDescent="0.35">
      <c r="A12" t="s">
        <v>4</v>
      </c>
      <c r="B12">
        <v>54</v>
      </c>
    </row>
    <row r="13" spans="1:6" x14ac:dyDescent="0.35">
      <c r="A13" t="s">
        <v>3</v>
      </c>
      <c r="B13">
        <v>60</v>
      </c>
    </row>
    <row r="14" spans="1:6" x14ac:dyDescent="0.35">
      <c r="A14" t="s">
        <v>5</v>
      </c>
      <c r="B14">
        <v>60</v>
      </c>
    </row>
    <row r="15" spans="1:6" x14ac:dyDescent="0.35">
      <c r="A15" t="s">
        <v>6</v>
      </c>
      <c r="B15">
        <v>261</v>
      </c>
    </row>
    <row r="16" spans="1:6" x14ac:dyDescent="0.35">
      <c r="A16" t="s">
        <v>2</v>
      </c>
      <c r="B16">
        <v>1800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7"/>
  <sheetViews>
    <sheetView topLeftCell="CG22" zoomScale="80" zoomScaleNormal="80" workbookViewId="0">
      <selection activeCell="M25" sqref="M25"/>
    </sheetView>
  </sheetViews>
  <sheetFormatPr defaultColWidth="5.453125" defaultRowHeight="14.5" x14ac:dyDescent="0.35"/>
  <cols>
    <col min="1" max="1" width="5.453125" style="82"/>
    <col min="2" max="2" width="5" style="103" customWidth="1"/>
    <col min="3" max="3" width="35.81640625" style="82" customWidth="1"/>
    <col min="4" max="4" width="6.81640625" style="82" customWidth="1"/>
    <col min="5" max="5" width="6.26953125" style="82" customWidth="1"/>
    <col min="6" max="6" width="6.54296875" style="82" customWidth="1"/>
    <col min="7" max="7" width="6.1796875" style="112" customWidth="1"/>
    <col min="8" max="8" width="7.1796875" style="112" customWidth="1"/>
    <col min="9" max="9" width="6.1796875" style="82" customWidth="1"/>
    <col min="10" max="10" width="5.453125" style="216"/>
    <col min="11" max="11" width="5.453125" style="82"/>
    <col min="12" max="12" width="5.453125" style="103"/>
    <col min="13" max="13" width="38.81640625" style="82" customWidth="1"/>
    <col min="14" max="14" width="6.81640625" style="82" customWidth="1"/>
    <col min="15" max="17" width="6.26953125" style="82" customWidth="1"/>
    <col min="18" max="18" width="6.81640625" style="82" customWidth="1"/>
    <col min="19" max="19" width="6.26953125" style="82" customWidth="1"/>
    <col min="20" max="20" width="5.453125" style="216"/>
    <col min="21" max="21" width="5.453125" style="82"/>
    <col min="22" max="22" width="5.453125" style="103"/>
    <col min="23" max="23" width="41" style="82" customWidth="1"/>
    <col min="24" max="24" width="6.453125" style="82" customWidth="1"/>
    <col min="25" max="25" width="6.7265625" style="82" customWidth="1"/>
    <col min="26" max="26" width="6" style="82" customWidth="1"/>
    <col min="27" max="27" width="6.54296875" style="82" customWidth="1"/>
    <col min="28" max="28" width="7.7265625" style="82" customWidth="1"/>
    <col min="29" max="29" width="6.81640625" style="82" customWidth="1"/>
    <col min="30" max="30" width="3.1796875" style="216" customWidth="1"/>
    <col min="31" max="31" width="5.453125" style="82"/>
    <col min="32" max="32" width="5.453125" style="103"/>
    <col min="33" max="33" width="40" style="82" customWidth="1"/>
    <col min="34" max="34" width="7.54296875" style="82" customWidth="1"/>
    <col min="35" max="35" width="6.1796875" style="82" customWidth="1"/>
    <col min="36" max="36" width="6" style="82" customWidth="1"/>
    <col min="37" max="37" width="7" style="82" customWidth="1"/>
    <col min="38" max="38" width="6.81640625" style="82" customWidth="1"/>
    <col min="39" max="39" width="6.54296875" style="82" customWidth="1"/>
    <col min="40" max="40" width="5.453125" style="216"/>
    <col min="41" max="41" width="5.453125" style="82"/>
    <col min="42" max="42" width="5.453125" style="103"/>
    <col min="43" max="43" width="36.54296875" style="82" customWidth="1"/>
    <col min="44" max="44" width="7.453125" style="82" customWidth="1"/>
    <col min="45" max="45" width="6.26953125" style="82" customWidth="1"/>
    <col min="46" max="46" width="6.81640625" style="82" customWidth="1"/>
    <col min="47" max="47" width="7.54296875" style="82" customWidth="1"/>
    <col min="48" max="49" width="7" style="82" customWidth="1"/>
    <col min="50" max="50" width="5.453125" style="216"/>
    <col min="51" max="51" width="5.453125" style="117"/>
    <col min="52" max="52" width="5.453125" style="103"/>
    <col min="53" max="53" width="39.7265625" style="117" customWidth="1"/>
    <col min="54" max="54" width="7.81640625" style="117" customWidth="1"/>
    <col min="55" max="55" width="6.54296875" style="117" customWidth="1"/>
    <col min="56" max="56" width="7" style="117" customWidth="1"/>
    <col min="57" max="58" width="6.7265625" style="117" customWidth="1"/>
    <col min="59" max="59" width="7" style="117" customWidth="1"/>
    <col min="60" max="60" width="5.453125" style="215"/>
    <col min="61" max="61" width="5.453125" style="82"/>
    <col min="62" max="62" width="5.453125" style="103"/>
    <col min="63" max="63" width="41" style="82" customWidth="1"/>
    <col min="64" max="64" width="6.7265625" style="82" customWidth="1"/>
    <col min="65" max="65" width="6.81640625" style="82" customWidth="1"/>
    <col min="66" max="66" width="6.26953125" style="82" customWidth="1"/>
    <col min="67" max="67" width="6.81640625" style="82" customWidth="1"/>
    <col min="68" max="68" width="8" style="82" customWidth="1"/>
    <col min="69" max="69" width="6.54296875" style="82" customWidth="1"/>
    <col min="70" max="70" width="5.453125" style="215"/>
    <col min="71" max="71" width="5.453125" style="82"/>
    <col min="72" max="72" width="5.453125" style="103"/>
    <col min="73" max="73" width="41.1796875" style="82" customWidth="1"/>
    <col min="74" max="74" width="6.81640625" style="82" customWidth="1"/>
    <col min="75" max="76" width="6.26953125" style="82" customWidth="1"/>
    <col min="77" max="77" width="6.54296875" style="82" customWidth="1"/>
    <col min="78" max="78" width="8.1796875" style="82" customWidth="1"/>
    <col min="79" max="79" width="7" style="82" customWidth="1"/>
    <col min="80" max="80" width="5.453125" style="215"/>
    <col min="81" max="81" width="5.453125" style="82"/>
    <col min="82" max="82" width="5.453125" style="103"/>
    <col min="83" max="83" width="40.1796875" style="82" customWidth="1"/>
    <col min="84" max="85" width="6.7265625" style="82" customWidth="1"/>
    <col min="86" max="86" width="7.26953125" style="82" customWidth="1"/>
    <col min="87" max="87" width="6.81640625" style="82" customWidth="1"/>
    <col min="88" max="88" width="7.7265625" style="82" customWidth="1"/>
    <col min="89" max="89" width="7.26953125" style="82" customWidth="1"/>
    <col min="90" max="90" width="5.453125" style="215"/>
    <col min="91" max="91" width="5.453125" style="82"/>
    <col min="92" max="92" width="5.453125" style="103"/>
    <col min="93" max="93" width="38.81640625" style="82" customWidth="1"/>
    <col min="94" max="94" width="6.7265625" style="82" customWidth="1"/>
    <col min="95" max="95" width="7" style="82" customWidth="1"/>
    <col min="96" max="96" width="6.26953125" style="82" customWidth="1"/>
    <col min="97" max="97" width="7" style="82" customWidth="1"/>
    <col min="98" max="98" width="6.7265625" style="82" customWidth="1"/>
    <col min="99" max="99" width="6.54296875" style="82" customWidth="1"/>
    <col min="100" max="100" width="5.453125" style="203"/>
    <col min="101" max="162" width="5.453125" style="81"/>
    <col min="163" max="16384" width="5.453125" style="82"/>
  </cols>
  <sheetData>
    <row r="1" spans="1:162" ht="15" customHeight="1" x14ac:dyDescent="0.35">
      <c r="A1" s="217" t="s">
        <v>21</v>
      </c>
      <c r="B1" s="211" t="s">
        <v>26</v>
      </c>
      <c r="C1" s="217" t="s">
        <v>22</v>
      </c>
      <c r="D1" s="217" t="s">
        <v>23</v>
      </c>
      <c r="E1" s="217" t="s">
        <v>24</v>
      </c>
      <c r="F1" s="217"/>
      <c r="G1" s="217"/>
      <c r="H1" s="218" t="s">
        <v>20</v>
      </c>
      <c r="I1" s="217" t="s">
        <v>25</v>
      </c>
      <c r="J1" s="203"/>
      <c r="K1" s="211" t="s">
        <v>21</v>
      </c>
      <c r="L1" s="211" t="s">
        <v>26</v>
      </c>
      <c r="M1" s="211" t="s">
        <v>22</v>
      </c>
      <c r="N1" s="211" t="s">
        <v>23</v>
      </c>
      <c r="O1" s="211" t="s">
        <v>24</v>
      </c>
      <c r="P1" s="211"/>
      <c r="Q1" s="211"/>
      <c r="R1" s="212" t="s">
        <v>20</v>
      </c>
      <c r="S1" s="211" t="s">
        <v>25</v>
      </c>
      <c r="T1" s="203"/>
      <c r="U1" s="211" t="s">
        <v>21</v>
      </c>
      <c r="V1" s="211" t="s">
        <v>26</v>
      </c>
      <c r="W1" s="211" t="s">
        <v>22</v>
      </c>
      <c r="X1" s="211" t="s">
        <v>23</v>
      </c>
      <c r="Y1" s="211" t="s">
        <v>24</v>
      </c>
      <c r="Z1" s="211"/>
      <c r="AA1" s="211"/>
      <c r="AB1" s="212" t="s">
        <v>20</v>
      </c>
      <c r="AC1" s="211" t="s">
        <v>25</v>
      </c>
      <c r="AD1" s="203"/>
      <c r="AE1" s="211" t="s">
        <v>21</v>
      </c>
      <c r="AF1" s="211" t="s">
        <v>26</v>
      </c>
      <c r="AG1" s="211" t="s">
        <v>22</v>
      </c>
      <c r="AH1" s="211" t="s">
        <v>23</v>
      </c>
      <c r="AI1" s="211" t="s">
        <v>24</v>
      </c>
      <c r="AJ1" s="211"/>
      <c r="AK1" s="211"/>
      <c r="AL1" s="212" t="s">
        <v>20</v>
      </c>
      <c r="AM1" s="211" t="s">
        <v>25</v>
      </c>
      <c r="AN1" s="203"/>
      <c r="AO1" s="211" t="s">
        <v>21</v>
      </c>
      <c r="AP1" s="211" t="s">
        <v>26</v>
      </c>
      <c r="AQ1" s="211" t="s">
        <v>22</v>
      </c>
      <c r="AR1" s="211" t="s">
        <v>23</v>
      </c>
      <c r="AS1" s="211" t="s">
        <v>24</v>
      </c>
      <c r="AT1" s="211"/>
      <c r="AU1" s="211"/>
      <c r="AV1" s="212" t="s">
        <v>20</v>
      </c>
      <c r="AW1" s="211" t="s">
        <v>25</v>
      </c>
      <c r="AX1" s="203"/>
      <c r="AY1" s="211" t="s">
        <v>21</v>
      </c>
      <c r="AZ1" s="211" t="s">
        <v>26</v>
      </c>
      <c r="BA1" s="211" t="s">
        <v>22</v>
      </c>
      <c r="BB1" s="211" t="s">
        <v>23</v>
      </c>
      <c r="BC1" s="211" t="s">
        <v>24</v>
      </c>
      <c r="BD1" s="211"/>
      <c r="BE1" s="211"/>
      <c r="BF1" s="212" t="s">
        <v>20</v>
      </c>
      <c r="BG1" s="211" t="s">
        <v>25</v>
      </c>
      <c r="BH1" s="213"/>
      <c r="BI1" s="211" t="s">
        <v>21</v>
      </c>
      <c r="BJ1" s="211" t="s">
        <v>26</v>
      </c>
      <c r="BK1" s="211" t="s">
        <v>22</v>
      </c>
      <c r="BL1" s="211" t="s">
        <v>23</v>
      </c>
      <c r="BM1" s="211" t="s">
        <v>24</v>
      </c>
      <c r="BN1" s="211"/>
      <c r="BO1" s="211"/>
      <c r="BP1" s="212" t="s">
        <v>20</v>
      </c>
      <c r="BQ1" s="211" t="s">
        <v>25</v>
      </c>
      <c r="BR1" s="213"/>
      <c r="BS1" s="211" t="s">
        <v>21</v>
      </c>
      <c r="BT1" s="211" t="s">
        <v>26</v>
      </c>
      <c r="BU1" s="211" t="s">
        <v>22</v>
      </c>
      <c r="BV1" s="211" t="s">
        <v>23</v>
      </c>
      <c r="BW1" s="211" t="s">
        <v>24</v>
      </c>
      <c r="BX1" s="211"/>
      <c r="BY1" s="211"/>
      <c r="BZ1" s="212" t="s">
        <v>20</v>
      </c>
      <c r="CA1" s="211" t="s">
        <v>25</v>
      </c>
      <c r="CB1" s="213"/>
      <c r="CC1" s="211" t="s">
        <v>21</v>
      </c>
      <c r="CD1" s="211" t="s">
        <v>26</v>
      </c>
      <c r="CE1" s="211" t="s">
        <v>22</v>
      </c>
      <c r="CF1" s="211" t="s">
        <v>23</v>
      </c>
      <c r="CG1" s="211" t="s">
        <v>24</v>
      </c>
      <c r="CH1" s="211"/>
      <c r="CI1" s="211"/>
      <c r="CJ1" s="212" t="s">
        <v>20</v>
      </c>
      <c r="CK1" s="211" t="s">
        <v>25</v>
      </c>
      <c r="CL1" s="213"/>
      <c r="CM1" s="196" t="s">
        <v>21</v>
      </c>
      <c r="CN1" s="196" t="s">
        <v>26</v>
      </c>
      <c r="CO1" s="196" t="s">
        <v>22</v>
      </c>
      <c r="CP1" s="196" t="s">
        <v>23</v>
      </c>
      <c r="CQ1" s="200" t="s">
        <v>24</v>
      </c>
      <c r="CR1" s="201"/>
      <c r="CS1" s="202"/>
      <c r="CT1" s="198" t="s">
        <v>20</v>
      </c>
      <c r="CU1" s="196" t="s">
        <v>25</v>
      </c>
    </row>
    <row r="2" spans="1:162" ht="27.75" customHeight="1" x14ac:dyDescent="0.35">
      <c r="A2" s="217"/>
      <c r="B2" s="211"/>
      <c r="C2" s="217"/>
      <c r="D2" s="217"/>
      <c r="E2" s="83" t="s">
        <v>9</v>
      </c>
      <c r="F2" s="83" t="s">
        <v>10</v>
      </c>
      <c r="G2" s="84" t="s">
        <v>11</v>
      </c>
      <c r="H2" s="218"/>
      <c r="I2" s="217"/>
      <c r="J2" s="204"/>
      <c r="K2" s="211"/>
      <c r="L2" s="211"/>
      <c r="M2" s="211"/>
      <c r="N2" s="211"/>
      <c r="O2" s="85" t="s">
        <v>9</v>
      </c>
      <c r="P2" s="85" t="s">
        <v>10</v>
      </c>
      <c r="Q2" s="86" t="s">
        <v>11</v>
      </c>
      <c r="R2" s="212"/>
      <c r="S2" s="211"/>
      <c r="T2" s="204"/>
      <c r="U2" s="211"/>
      <c r="V2" s="211"/>
      <c r="W2" s="211"/>
      <c r="X2" s="211"/>
      <c r="Y2" s="85" t="s">
        <v>9</v>
      </c>
      <c r="Z2" s="85" t="s">
        <v>10</v>
      </c>
      <c r="AA2" s="86" t="s">
        <v>11</v>
      </c>
      <c r="AB2" s="212"/>
      <c r="AC2" s="211"/>
      <c r="AD2" s="204"/>
      <c r="AE2" s="211"/>
      <c r="AF2" s="211"/>
      <c r="AG2" s="211"/>
      <c r="AH2" s="211"/>
      <c r="AI2" s="85" t="s">
        <v>9</v>
      </c>
      <c r="AJ2" s="85" t="s">
        <v>10</v>
      </c>
      <c r="AK2" s="86" t="s">
        <v>11</v>
      </c>
      <c r="AL2" s="212"/>
      <c r="AM2" s="211"/>
      <c r="AN2" s="204"/>
      <c r="AO2" s="211"/>
      <c r="AP2" s="211"/>
      <c r="AQ2" s="211"/>
      <c r="AR2" s="211"/>
      <c r="AS2" s="85" t="s">
        <v>9</v>
      </c>
      <c r="AT2" s="85" t="s">
        <v>10</v>
      </c>
      <c r="AU2" s="86" t="s">
        <v>11</v>
      </c>
      <c r="AV2" s="212"/>
      <c r="AW2" s="211"/>
      <c r="AX2" s="204"/>
      <c r="AY2" s="211"/>
      <c r="AZ2" s="211"/>
      <c r="BA2" s="211"/>
      <c r="BB2" s="211"/>
      <c r="BC2" s="85" t="s">
        <v>9</v>
      </c>
      <c r="BD2" s="85" t="s">
        <v>10</v>
      </c>
      <c r="BE2" s="86" t="s">
        <v>11</v>
      </c>
      <c r="BF2" s="212"/>
      <c r="BG2" s="211"/>
      <c r="BH2" s="214"/>
      <c r="BI2" s="211"/>
      <c r="BJ2" s="211"/>
      <c r="BK2" s="211"/>
      <c r="BL2" s="211"/>
      <c r="BM2" s="85" t="s">
        <v>9</v>
      </c>
      <c r="BN2" s="85" t="s">
        <v>10</v>
      </c>
      <c r="BO2" s="86" t="s">
        <v>11</v>
      </c>
      <c r="BP2" s="212"/>
      <c r="BQ2" s="211"/>
      <c r="BR2" s="214"/>
      <c r="BS2" s="211"/>
      <c r="BT2" s="211"/>
      <c r="BU2" s="211"/>
      <c r="BV2" s="211"/>
      <c r="BW2" s="85" t="s">
        <v>9</v>
      </c>
      <c r="BX2" s="85" t="s">
        <v>10</v>
      </c>
      <c r="BY2" s="86" t="s">
        <v>11</v>
      </c>
      <c r="BZ2" s="212"/>
      <c r="CA2" s="211"/>
      <c r="CB2" s="214"/>
      <c r="CC2" s="211"/>
      <c r="CD2" s="211"/>
      <c r="CE2" s="211"/>
      <c r="CF2" s="211"/>
      <c r="CG2" s="85" t="s">
        <v>9</v>
      </c>
      <c r="CH2" s="85" t="s">
        <v>10</v>
      </c>
      <c r="CI2" s="86" t="s">
        <v>11</v>
      </c>
      <c r="CJ2" s="212"/>
      <c r="CK2" s="211"/>
      <c r="CL2" s="214"/>
      <c r="CM2" s="197"/>
      <c r="CN2" s="197"/>
      <c r="CO2" s="197"/>
      <c r="CP2" s="197"/>
      <c r="CQ2" s="133" t="s">
        <v>9</v>
      </c>
      <c r="CR2" s="133" t="s">
        <v>10</v>
      </c>
      <c r="CS2" s="134" t="s">
        <v>11</v>
      </c>
      <c r="CT2" s="199"/>
      <c r="CU2" s="197"/>
      <c r="CV2" s="204"/>
    </row>
    <row r="3" spans="1:162" x14ac:dyDescent="0.35">
      <c r="A3" s="165" t="s">
        <v>230</v>
      </c>
      <c r="B3" s="89"/>
      <c r="C3" s="87"/>
      <c r="D3" s="87"/>
      <c r="E3" s="87"/>
      <c r="F3" s="87"/>
      <c r="G3" s="88"/>
      <c r="H3" s="88"/>
      <c r="I3" s="87"/>
      <c r="J3" s="204"/>
      <c r="K3" s="89" t="s">
        <v>231</v>
      </c>
      <c r="L3" s="89"/>
      <c r="M3" s="89"/>
      <c r="N3" s="89"/>
      <c r="O3" s="89"/>
      <c r="P3" s="89"/>
      <c r="Q3" s="90"/>
      <c r="R3" s="90"/>
      <c r="S3" s="89"/>
      <c r="T3" s="204"/>
      <c r="U3" s="89" t="s">
        <v>232</v>
      </c>
      <c r="V3" s="89"/>
      <c r="W3" s="89"/>
      <c r="X3" s="89"/>
      <c r="Y3" s="89"/>
      <c r="Z3" s="89"/>
      <c r="AA3" s="90"/>
      <c r="AB3" s="90"/>
      <c r="AC3" s="89"/>
      <c r="AD3" s="204"/>
      <c r="AE3" s="89" t="s">
        <v>233</v>
      </c>
      <c r="AF3" s="89"/>
      <c r="AG3" s="89"/>
      <c r="AH3" s="89"/>
      <c r="AI3" s="89"/>
      <c r="AJ3" s="89"/>
      <c r="AK3" s="90"/>
      <c r="AL3" s="90"/>
      <c r="AM3" s="89"/>
      <c r="AN3" s="204"/>
      <c r="AO3" s="89" t="s">
        <v>234</v>
      </c>
      <c r="AP3" s="89"/>
      <c r="AQ3" s="89"/>
      <c r="AR3" s="89"/>
      <c r="AS3" s="89"/>
      <c r="AT3" s="89"/>
      <c r="AU3" s="90"/>
      <c r="AV3" s="90"/>
      <c r="AW3" s="89"/>
      <c r="AX3" s="204"/>
      <c r="AY3" s="89" t="s">
        <v>235</v>
      </c>
      <c r="AZ3" s="89"/>
      <c r="BA3" s="89"/>
      <c r="BB3" s="89"/>
      <c r="BC3" s="89"/>
      <c r="BD3" s="89"/>
      <c r="BE3" s="90"/>
      <c r="BF3" s="90"/>
      <c r="BG3" s="89"/>
      <c r="BH3" s="214"/>
      <c r="BI3" s="89" t="s">
        <v>236</v>
      </c>
      <c r="BJ3" s="89"/>
      <c r="BK3" s="89"/>
      <c r="BL3" s="89"/>
      <c r="BM3" s="89"/>
      <c r="BN3" s="89"/>
      <c r="BO3" s="90"/>
      <c r="BP3" s="90"/>
      <c r="BQ3" s="89"/>
      <c r="BR3" s="214"/>
      <c r="BS3" s="89" t="s">
        <v>237</v>
      </c>
      <c r="BT3" s="89"/>
      <c r="BU3" s="89"/>
      <c r="BV3" s="89"/>
      <c r="BW3" s="89"/>
      <c r="BX3" s="89"/>
      <c r="BY3" s="90"/>
      <c r="BZ3" s="90"/>
      <c r="CA3" s="89"/>
      <c r="CB3" s="214"/>
      <c r="CC3" s="89" t="s">
        <v>238</v>
      </c>
      <c r="CD3" s="89"/>
      <c r="CE3" s="89"/>
      <c r="CF3" s="89"/>
      <c r="CG3" s="89"/>
      <c r="CH3" s="89"/>
      <c r="CI3" s="90"/>
      <c r="CJ3" s="90"/>
      <c r="CK3" s="89"/>
      <c r="CL3" s="214"/>
      <c r="CM3" s="89" t="s">
        <v>239</v>
      </c>
      <c r="CN3" s="89"/>
      <c r="CO3" s="89"/>
      <c r="CP3" s="89"/>
      <c r="CQ3" s="89"/>
      <c r="CR3" s="89"/>
      <c r="CS3" s="90"/>
      <c r="CT3" s="90"/>
      <c r="CU3" s="89"/>
      <c r="CV3" s="204"/>
    </row>
    <row r="4" spans="1:162" s="92" customFormat="1" x14ac:dyDescent="0.35">
      <c r="A4" s="208" t="s">
        <v>28</v>
      </c>
      <c r="B4" s="209"/>
      <c r="C4" s="209"/>
      <c r="D4" s="209"/>
      <c r="E4" s="209"/>
      <c r="F4" s="209"/>
      <c r="G4" s="209"/>
      <c r="H4" s="209"/>
      <c r="I4" s="210"/>
      <c r="J4" s="204"/>
      <c r="K4" s="205" t="s">
        <v>28</v>
      </c>
      <c r="L4" s="206"/>
      <c r="M4" s="206"/>
      <c r="N4" s="206"/>
      <c r="O4" s="206"/>
      <c r="P4" s="206"/>
      <c r="Q4" s="206"/>
      <c r="R4" s="206"/>
      <c r="S4" s="207"/>
      <c r="T4" s="204"/>
      <c r="U4" s="205" t="s">
        <v>28</v>
      </c>
      <c r="V4" s="206"/>
      <c r="W4" s="206"/>
      <c r="X4" s="206"/>
      <c r="Y4" s="206"/>
      <c r="Z4" s="206"/>
      <c r="AA4" s="206"/>
      <c r="AB4" s="206"/>
      <c r="AC4" s="207"/>
      <c r="AD4" s="204"/>
      <c r="AE4" s="205" t="s">
        <v>28</v>
      </c>
      <c r="AF4" s="206"/>
      <c r="AG4" s="206"/>
      <c r="AH4" s="206"/>
      <c r="AI4" s="206"/>
      <c r="AJ4" s="206"/>
      <c r="AK4" s="206"/>
      <c r="AL4" s="206"/>
      <c r="AM4" s="207"/>
      <c r="AN4" s="204"/>
      <c r="AO4" s="205" t="s">
        <v>28</v>
      </c>
      <c r="AP4" s="206"/>
      <c r="AQ4" s="206"/>
      <c r="AR4" s="206"/>
      <c r="AS4" s="206"/>
      <c r="AT4" s="206"/>
      <c r="AU4" s="206"/>
      <c r="AV4" s="206"/>
      <c r="AW4" s="207"/>
      <c r="AX4" s="204"/>
      <c r="AY4" s="205" t="s">
        <v>28</v>
      </c>
      <c r="AZ4" s="206"/>
      <c r="BA4" s="206"/>
      <c r="BB4" s="206"/>
      <c r="BC4" s="206"/>
      <c r="BD4" s="206"/>
      <c r="BE4" s="206"/>
      <c r="BF4" s="206"/>
      <c r="BG4" s="207"/>
      <c r="BH4" s="214"/>
      <c r="BI4" s="205" t="s">
        <v>28</v>
      </c>
      <c r="BJ4" s="206"/>
      <c r="BK4" s="206"/>
      <c r="BL4" s="206"/>
      <c r="BM4" s="206"/>
      <c r="BN4" s="206"/>
      <c r="BO4" s="206"/>
      <c r="BP4" s="206"/>
      <c r="BQ4" s="207"/>
      <c r="BR4" s="214"/>
      <c r="BS4" s="205" t="s">
        <v>28</v>
      </c>
      <c r="BT4" s="206"/>
      <c r="BU4" s="206"/>
      <c r="BV4" s="206"/>
      <c r="BW4" s="206"/>
      <c r="BX4" s="206"/>
      <c r="BY4" s="206"/>
      <c r="BZ4" s="206"/>
      <c r="CA4" s="207"/>
      <c r="CB4" s="214"/>
      <c r="CC4" s="205" t="s">
        <v>28</v>
      </c>
      <c r="CD4" s="206"/>
      <c r="CE4" s="206"/>
      <c r="CF4" s="206"/>
      <c r="CG4" s="206"/>
      <c r="CH4" s="206"/>
      <c r="CI4" s="206"/>
      <c r="CJ4" s="206"/>
      <c r="CK4" s="207"/>
      <c r="CL4" s="214"/>
      <c r="CM4" s="205" t="s">
        <v>28</v>
      </c>
      <c r="CN4" s="206"/>
      <c r="CO4" s="206"/>
      <c r="CP4" s="206"/>
      <c r="CQ4" s="206"/>
      <c r="CR4" s="206"/>
      <c r="CS4" s="206"/>
      <c r="CT4" s="206"/>
      <c r="CU4" s="207"/>
      <c r="CV4" s="204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</row>
    <row r="5" spans="1:162" s="92" customFormat="1" ht="15" customHeight="1" x14ac:dyDescent="0.35">
      <c r="B5" s="102">
        <v>7</v>
      </c>
      <c r="C5" s="81" t="s">
        <v>39</v>
      </c>
      <c r="D5" s="81">
        <v>10</v>
      </c>
      <c r="E5" s="93">
        <v>2.3199999999999998</v>
      </c>
      <c r="F5" s="93">
        <v>2.95</v>
      </c>
      <c r="G5" s="94"/>
      <c r="H5" s="185">
        <v>36</v>
      </c>
      <c r="I5" s="93">
        <v>7.0000000000000007E-2</v>
      </c>
      <c r="J5" s="204"/>
      <c r="K5" s="95"/>
      <c r="L5" s="104">
        <v>224</v>
      </c>
      <c r="M5" s="105" t="s">
        <v>207</v>
      </c>
      <c r="N5" s="105">
        <v>120</v>
      </c>
      <c r="O5" s="100">
        <v>14.84</v>
      </c>
      <c r="P5" s="100">
        <v>18.22</v>
      </c>
      <c r="Q5" s="100">
        <v>2.3199999999999998</v>
      </c>
      <c r="R5" s="94">
        <f>Q5*4+P5*9+O5*4</f>
        <v>232.62</v>
      </c>
      <c r="S5" s="100">
        <v>0.5</v>
      </c>
      <c r="T5" s="204"/>
      <c r="U5" s="95"/>
      <c r="V5" s="97">
        <v>185</v>
      </c>
      <c r="W5" s="96" t="s">
        <v>137</v>
      </c>
      <c r="X5" s="96">
        <v>150</v>
      </c>
      <c r="Y5" s="93">
        <v>3.44</v>
      </c>
      <c r="Z5" s="93">
        <v>0.99</v>
      </c>
      <c r="AA5" s="93">
        <v>23.58</v>
      </c>
      <c r="AB5" s="94">
        <f>AA5*4+Z5*9+Y5*4</f>
        <v>116.99</v>
      </c>
      <c r="AC5" s="93"/>
      <c r="AD5" s="204"/>
      <c r="AE5" s="95"/>
      <c r="AF5" s="97">
        <v>101</v>
      </c>
      <c r="AG5" s="107" t="s">
        <v>166</v>
      </c>
      <c r="AH5" s="97">
        <v>200</v>
      </c>
      <c r="AI5" s="106">
        <v>5.48</v>
      </c>
      <c r="AJ5" s="106">
        <v>5.048</v>
      </c>
      <c r="AK5" s="106">
        <v>16</v>
      </c>
      <c r="AL5" s="185">
        <v>131.76</v>
      </c>
      <c r="AM5" s="106">
        <v>0.97</v>
      </c>
      <c r="AN5" s="204"/>
      <c r="AO5" s="95"/>
      <c r="AP5" s="97">
        <v>185</v>
      </c>
      <c r="AQ5" s="97" t="s">
        <v>138</v>
      </c>
      <c r="AR5" s="97">
        <v>150</v>
      </c>
      <c r="AS5" s="93">
        <v>3.44</v>
      </c>
      <c r="AT5" s="93">
        <v>0.99</v>
      </c>
      <c r="AU5" s="93">
        <v>23.58</v>
      </c>
      <c r="AV5" s="94">
        <f t="shared" ref="AV5:AV7" si="0">AU5*4+AT5*9+AS5*4</f>
        <v>116.99</v>
      </c>
      <c r="AW5" s="100"/>
      <c r="AX5" s="204"/>
      <c r="AY5" s="95"/>
      <c r="AZ5" s="102">
        <v>7</v>
      </c>
      <c r="BA5" s="81" t="s">
        <v>39</v>
      </c>
      <c r="BB5" s="81">
        <v>10</v>
      </c>
      <c r="BC5" s="93">
        <v>2.3199999999999998</v>
      </c>
      <c r="BD5" s="93">
        <v>2.95</v>
      </c>
      <c r="BE5" s="94"/>
      <c r="BF5" s="190">
        <v>36</v>
      </c>
      <c r="BG5" s="93">
        <v>7.0000000000000007E-2</v>
      </c>
      <c r="BH5" s="214"/>
      <c r="BI5" s="95"/>
      <c r="BJ5" s="97">
        <v>3</v>
      </c>
      <c r="BK5" s="97" t="s">
        <v>31</v>
      </c>
      <c r="BL5" s="97">
        <v>45</v>
      </c>
      <c r="BM5" s="98">
        <v>4.7300000000000004</v>
      </c>
      <c r="BN5" s="98">
        <v>6.88</v>
      </c>
      <c r="BO5" s="98">
        <v>14.56</v>
      </c>
      <c r="BP5" s="94">
        <v>139</v>
      </c>
      <c r="BQ5" s="98">
        <v>7.0000000000000007E-2</v>
      </c>
      <c r="BR5" s="214"/>
      <c r="BS5" s="95"/>
      <c r="BT5" s="104">
        <v>7</v>
      </c>
      <c r="BU5" s="96" t="s">
        <v>39</v>
      </c>
      <c r="BV5" s="96">
        <v>15</v>
      </c>
      <c r="BW5" s="185">
        <v>3.48</v>
      </c>
      <c r="BX5" s="100">
        <f>2.95*15/10</f>
        <v>4.4249999999999998</v>
      </c>
      <c r="BY5" s="100"/>
      <c r="BZ5" s="185">
        <v>54</v>
      </c>
      <c r="CA5" s="185">
        <v>0.11</v>
      </c>
      <c r="CB5" s="214"/>
      <c r="CC5" s="95"/>
      <c r="CD5" s="97">
        <v>185</v>
      </c>
      <c r="CE5" s="97" t="s">
        <v>93</v>
      </c>
      <c r="CF5" s="97">
        <v>150</v>
      </c>
      <c r="CG5" s="100">
        <v>2.36</v>
      </c>
      <c r="CH5" s="100">
        <v>0.23</v>
      </c>
      <c r="CI5" s="185">
        <v>21</v>
      </c>
      <c r="CJ5" s="185">
        <v>95</v>
      </c>
      <c r="CK5" s="100"/>
      <c r="CL5" s="214"/>
      <c r="CM5" s="95"/>
      <c r="CN5" s="97">
        <v>2</v>
      </c>
      <c r="CO5" s="97" t="s">
        <v>184</v>
      </c>
      <c r="CP5" s="97">
        <v>55</v>
      </c>
      <c r="CQ5" s="100">
        <v>2.5099999999999998</v>
      </c>
      <c r="CR5" s="100">
        <v>3.93</v>
      </c>
      <c r="CS5" s="185">
        <v>28.9</v>
      </c>
      <c r="CT5" s="185">
        <v>160.9</v>
      </c>
      <c r="CU5" s="100">
        <v>0.48</v>
      </c>
      <c r="CV5" s="204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</row>
    <row r="6" spans="1:162" ht="12.75" customHeight="1" x14ac:dyDescent="0.35">
      <c r="B6" s="102"/>
      <c r="C6" s="97" t="s">
        <v>95</v>
      </c>
      <c r="D6" s="97">
        <v>180</v>
      </c>
      <c r="E6" s="100">
        <v>27.25</v>
      </c>
      <c r="F6" s="100">
        <v>19.37</v>
      </c>
      <c r="G6" s="100">
        <v>43.81</v>
      </c>
      <c r="H6" s="100">
        <f>G6*4+F6*9+E6*4</f>
        <v>458.57000000000005</v>
      </c>
      <c r="I6" s="100">
        <v>0.36</v>
      </c>
      <c r="J6" s="204"/>
      <c r="K6" s="103"/>
      <c r="L6" s="104"/>
      <c r="M6" s="101" t="s">
        <v>126</v>
      </c>
      <c r="N6" s="101">
        <v>60</v>
      </c>
      <c r="O6" s="100">
        <v>0.67</v>
      </c>
      <c r="P6" s="100"/>
      <c r="Q6" s="100">
        <v>6.86</v>
      </c>
      <c r="R6" s="94">
        <f t="shared" ref="R6:R9" si="1">Q6*4+P6*9+O6*4</f>
        <v>30.12</v>
      </c>
      <c r="S6" s="98"/>
      <c r="T6" s="204"/>
      <c r="U6" s="103"/>
      <c r="V6" s="97">
        <v>217</v>
      </c>
      <c r="W6" s="97" t="s">
        <v>212</v>
      </c>
      <c r="X6" s="189">
        <v>80</v>
      </c>
      <c r="Y6" s="185">
        <v>7.6</v>
      </c>
      <c r="Z6" s="185">
        <v>14.4</v>
      </c>
      <c r="AA6" s="185">
        <v>3.5</v>
      </c>
      <c r="AB6" s="190">
        <v>172</v>
      </c>
      <c r="AC6" s="93"/>
      <c r="AD6" s="204"/>
      <c r="AE6" s="103"/>
      <c r="AF6" s="97">
        <v>7</v>
      </c>
      <c r="AG6" s="97" t="s">
        <v>191</v>
      </c>
      <c r="AH6" s="97">
        <v>15</v>
      </c>
      <c r="AI6" s="185">
        <v>2.3199999999999998</v>
      </c>
      <c r="AJ6" s="185">
        <v>2.95</v>
      </c>
      <c r="AK6" s="185"/>
      <c r="AL6" s="185">
        <v>36</v>
      </c>
      <c r="AM6" s="185">
        <v>7.0000000000000007E-2</v>
      </c>
      <c r="AN6" s="204"/>
      <c r="AO6" s="103"/>
      <c r="AP6" s="97">
        <v>232</v>
      </c>
      <c r="AQ6" s="195" t="s">
        <v>243</v>
      </c>
      <c r="AR6" s="97">
        <v>100</v>
      </c>
      <c r="AS6" s="100">
        <v>12.61</v>
      </c>
      <c r="AT6" s="100">
        <v>9.4700000000000006</v>
      </c>
      <c r="AU6" s="100">
        <v>16.100000000000001</v>
      </c>
      <c r="AV6" s="94">
        <f t="shared" si="0"/>
        <v>200.07</v>
      </c>
      <c r="AW6" s="98">
        <v>4.3499999999999996</v>
      </c>
      <c r="AX6" s="204"/>
      <c r="AY6" s="103"/>
      <c r="AZ6" s="97">
        <v>6</v>
      </c>
      <c r="BA6" s="97" t="s">
        <v>40</v>
      </c>
      <c r="BB6" s="97">
        <v>5</v>
      </c>
      <c r="BC6" s="106">
        <v>0.04</v>
      </c>
      <c r="BD6" s="106">
        <v>3.63</v>
      </c>
      <c r="BE6" s="106">
        <v>6.5000000000000002E-2</v>
      </c>
      <c r="BF6" s="94">
        <v>33</v>
      </c>
      <c r="BG6" s="98"/>
      <c r="BH6" s="214"/>
      <c r="BI6" s="103"/>
      <c r="BJ6" s="97">
        <v>185</v>
      </c>
      <c r="BK6" s="97" t="s">
        <v>202</v>
      </c>
      <c r="BL6" s="189">
        <v>200</v>
      </c>
      <c r="BM6" s="98">
        <v>3.79</v>
      </c>
      <c r="BN6" s="98">
        <v>5.48</v>
      </c>
      <c r="BO6" s="99">
        <v>19.03</v>
      </c>
      <c r="BP6" s="94">
        <f t="shared" ref="BP6:BP8" si="2">BO6*4+BN6*9+BM6*4</f>
        <v>140.60000000000002</v>
      </c>
      <c r="BQ6" s="98"/>
      <c r="BR6" s="214"/>
      <c r="BS6" s="103"/>
      <c r="BT6" s="97">
        <v>185</v>
      </c>
      <c r="BU6" s="97" t="s">
        <v>48</v>
      </c>
      <c r="BV6" s="97">
        <v>150</v>
      </c>
      <c r="BW6" s="106">
        <v>1.6</v>
      </c>
      <c r="BX6" s="106">
        <v>0.23</v>
      </c>
      <c r="BY6" s="185">
        <v>21.7</v>
      </c>
      <c r="BZ6" s="185">
        <v>96</v>
      </c>
      <c r="CA6" s="106"/>
      <c r="CB6" s="214"/>
      <c r="CC6" s="103"/>
      <c r="CD6" s="104"/>
      <c r="CE6" s="97" t="s">
        <v>224</v>
      </c>
      <c r="CF6" s="97">
        <v>60</v>
      </c>
      <c r="CG6" s="106">
        <v>4.03</v>
      </c>
      <c r="CH6" s="106">
        <v>10.199999999999999</v>
      </c>
      <c r="CI6" s="106">
        <v>5.55</v>
      </c>
      <c r="CJ6" s="185">
        <v>103.4</v>
      </c>
      <c r="CK6" s="100">
        <v>0.06</v>
      </c>
      <c r="CL6" s="214"/>
      <c r="CM6" s="103"/>
      <c r="CN6" s="97">
        <v>94</v>
      </c>
      <c r="CO6" s="148" t="s">
        <v>185</v>
      </c>
      <c r="CP6" s="96">
        <v>180</v>
      </c>
      <c r="CQ6" s="100">
        <v>4.33</v>
      </c>
      <c r="CR6" s="100">
        <v>4.57</v>
      </c>
      <c r="CS6" s="100">
        <v>15.1</v>
      </c>
      <c r="CT6" s="185">
        <v>119.07</v>
      </c>
      <c r="CU6" s="100">
        <v>0.81</v>
      </c>
      <c r="CV6" s="204"/>
    </row>
    <row r="7" spans="1:162" x14ac:dyDescent="0.35">
      <c r="C7" s="97" t="s">
        <v>94</v>
      </c>
      <c r="D7" s="97">
        <v>15</v>
      </c>
      <c r="E7" s="185">
        <v>0.25</v>
      </c>
      <c r="F7" s="185">
        <v>2</v>
      </c>
      <c r="G7" s="185">
        <v>0.32</v>
      </c>
      <c r="H7" s="100">
        <f t="shared" ref="H7:H10" si="3">G7*4+F7*9+E7*4</f>
        <v>20.28</v>
      </c>
      <c r="I7" s="106"/>
      <c r="J7" s="204"/>
      <c r="K7" s="103"/>
      <c r="L7" s="97">
        <v>2</v>
      </c>
      <c r="M7" s="97" t="s">
        <v>244</v>
      </c>
      <c r="N7" s="97">
        <v>50</v>
      </c>
      <c r="O7" s="100">
        <v>2.5099999999999998</v>
      </c>
      <c r="P7" s="185">
        <v>7.55</v>
      </c>
      <c r="Q7" s="185">
        <v>28.9</v>
      </c>
      <c r="R7" s="190">
        <v>193.5</v>
      </c>
      <c r="S7" s="100">
        <v>0.48</v>
      </c>
      <c r="T7" s="204"/>
      <c r="U7" s="103"/>
      <c r="V7" s="103">
        <v>178</v>
      </c>
      <c r="W7" s="157" t="s">
        <v>223</v>
      </c>
      <c r="X7" s="82">
        <v>50</v>
      </c>
      <c r="Y7" s="158">
        <v>10.6</v>
      </c>
      <c r="Z7" s="158">
        <v>7.91</v>
      </c>
      <c r="AA7" s="158">
        <v>7.44</v>
      </c>
      <c r="AB7" s="94">
        <v>144</v>
      </c>
      <c r="AC7" s="158"/>
      <c r="AD7" s="204"/>
      <c r="AE7" s="103"/>
      <c r="AF7" s="154">
        <v>394</v>
      </c>
      <c r="AG7" s="97" t="s">
        <v>247</v>
      </c>
      <c r="AH7" s="97">
        <v>180</v>
      </c>
      <c r="AI7" s="100">
        <v>2.67</v>
      </c>
      <c r="AJ7" s="100">
        <v>2.34</v>
      </c>
      <c r="AK7" s="100">
        <v>14.3</v>
      </c>
      <c r="AL7" s="106">
        <v>89</v>
      </c>
      <c r="AM7" s="100">
        <v>1.2</v>
      </c>
      <c r="AN7" s="204"/>
      <c r="AO7" s="103"/>
      <c r="AP7" s="103">
        <v>41</v>
      </c>
      <c r="AQ7" s="157" t="s">
        <v>221</v>
      </c>
      <c r="AR7" s="82">
        <v>60</v>
      </c>
      <c r="AS7" s="145">
        <v>0.77</v>
      </c>
      <c r="AT7" s="145">
        <v>3.08</v>
      </c>
      <c r="AU7" s="145">
        <v>6.56</v>
      </c>
      <c r="AV7" s="106">
        <f t="shared" si="0"/>
        <v>57.039999999999992</v>
      </c>
      <c r="AW7" s="145">
        <v>3</v>
      </c>
      <c r="AX7" s="204"/>
      <c r="AY7" s="103"/>
      <c r="AZ7" s="97">
        <v>211</v>
      </c>
      <c r="BA7" s="97" t="s">
        <v>119</v>
      </c>
      <c r="BB7" s="97">
        <v>205</v>
      </c>
      <c r="BC7" s="93">
        <f>10.49*205/155</f>
        <v>13.873870967741935</v>
      </c>
      <c r="BD7" s="93">
        <f>10.35*205/155</f>
        <v>13.688709677419356</v>
      </c>
      <c r="BE7" s="94">
        <f>27.95*205/155</f>
        <v>36.966129032258067</v>
      </c>
      <c r="BF7" s="94">
        <f>BE7*4+BD7*9+BC7*4</f>
        <v>326.5583870967742</v>
      </c>
      <c r="BG7" s="93">
        <f>0.34*205/155</f>
        <v>0.44967741935483874</v>
      </c>
      <c r="BH7" s="214"/>
      <c r="BI7" s="103"/>
      <c r="BJ7" s="97">
        <v>395</v>
      </c>
      <c r="BK7" s="97" t="s">
        <v>32</v>
      </c>
      <c r="BL7" s="97">
        <v>180</v>
      </c>
      <c r="BM7" s="106">
        <v>2.85</v>
      </c>
      <c r="BN7" s="106">
        <v>2.41</v>
      </c>
      <c r="BO7" s="185">
        <v>14.4</v>
      </c>
      <c r="BP7" s="190">
        <v>90.53</v>
      </c>
      <c r="BQ7" s="106">
        <v>1.17</v>
      </c>
      <c r="BR7" s="214"/>
      <c r="BS7" s="103"/>
      <c r="BT7" s="97">
        <v>239</v>
      </c>
      <c r="BU7" s="96" t="s">
        <v>120</v>
      </c>
      <c r="BV7" s="96">
        <v>50</v>
      </c>
      <c r="BW7" s="106">
        <v>6.95</v>
      </c>
      <c r="BX7" s="106">
        <v>5.3</v>
      </c>
      <c r="BY7" s="185">
        <v>0.5</v>
      </c>
      <c r="BZ7" s="185">
        <v>77.400000000000006</v>
      </c>
      <c r="CA7" s="106">
        <v>0.15</v>
      </c>
      <c r="CB7" s="214"/>
      <c r="CC7" s="103"/>
      <c r="CD7" s="97">
        <v>12</v>
      </c>
      <c r="CE7" s="97" t="s">
        <v>140</v>
      </c>
      <c r="CF7" s="104">
        <v>60</v>
      </c>
      <c r="CG7" s="100">
        <v>1.73</v>
      </c>
      <c r="CH7" s="100">
        <v>3.7</v>
      </c>
      <c r="CI7" s="100">
        <v>4.82</v>
      </c>
      <c r="CJ7" s="185">
        <v>59.58</v>
      </c>
      <c r="CK7" s="100">
        <v>5.58</v>
      </c>
      <c r="CL7" s="214"/>
      <c r="CM7" s="103"/>
      <c r="CO7" s="157" t="s">
        <v>219</v>
      </c>
      <c r="CP7" s="82">
        <v>60</v>
      </c>
      <c r="CQ7" s="158">
        <v>5.73</v>
      </c>
      <c r="CR7" s="158">
        <v>11.04</v>
      </c>
      <c r="CS7" s="158">
        <v>6.29</v>
      </c>
      <c r="CT7" s="159">
        <f t="shared" ref="CT7" si="4">CS7*4+CR7*9+CQ7*4</f>
        <v>147.44</v>
      </c>
      <c r="CU7" s="158">
        <v>0.1</v>
      </c>
      <c r="CV7" s="204"/>
    </row>
    <row r="8" spans="1:162" ht="12.75" customHeight="1" x14ac:dyDescent="0.35">
      <c r="B8" s="104">
        <v>95</v>
      </c>
      <c r="C8" s="149" t="s">
        <v>194</v>
      </c>
      <c r="D8" s="101">
        <v>150</v>
      </c>
      <c r="E8" s="93">
        <v>2.48</v>
      </c>
      <c r="F8" s="93">
        <v>4.37</v>
      </c>
      <c r="G8" s="93">
        <v>12.44</v>
      </c>
      <c r="H8" s="100">
        <f t="shared" si="3"/>
        <v>99.01</v>
      </c>
      <c r="I8" s="93">
        <v>2.532</v>
      </c>
      <c r="J8" s="204"/>
      <c r="K8" s="103"/>
      <c r="L8" s="97">
        <v>397</v>
      </c>
      <c r="M8" s="97" t="s">
        <v>50</v>
      </c>
      <c r="N8" s="97">
        <v>180</v>
      </c>
      <c r="O8" s="187">
        <v>3.15</v>
      </c>
      <c r="P8" s="187">
        <v>2.72</v>
      </c>
      <c r="Q8" s="190">
        <v>13</v>
      </c>
      <c r="R8" s="190">
        <v>88.92</v>
      </c>
      <c r="S8" s="187">
        <v>1.6</v>
      </c>
      <c r="T8" s="204"/>
      <c r="U8" s="103"/>
      <c r="V8" s="97">
        <v>395</v>
      </c>
      <c r="W8" s="97" t="s">
        <v>32</v>
      </c>
      <c r="X8" s="97">
        <v>180</v>
      </c>
      <c r="Y8" s="98">
        <v>2.85</v>
      </c>
      <c r="Z8" s="98">
        <v>2.41</v>
      </c>
      <c r="AA8" s="99">
        <v>14.36</v>
      </c>
      <c r="AB8" s="190">
        <v>91</v>
      </c>
      <c r="AC8" s="98">
        <v>1.17</v>
      </c>
      <c r="AD8" s="204"/>
      <c r="AE8" s="103"/>
      <c r="AG8" s="97" t="s">
        <v>34</v>
      </c>
      <c r="AH8" s="97">
        <v>40</v>
      </c>
      <c r="AI8" s="100">
        <v>3.16</v>
      </c>
      <c r="AJ8" s="100">
        <v>0.4</v>
      </c>
      <c r="AK8" s="100">
        <v>19.32</v>
      </c>
      <c r="AL8" s="106">
        <f t="shared" ref="AL8:AL9" si="5">AK8*4+AJ8*9+AI8*4</f>
        <v>93.52</v>
      </c>
      <c r="AM8" s="100"/>
      <c r="AN8" s="204"/>
      <c r="AO8" s="103"/>
      <c r="AP8" s="97">
        <v>392</v>
      </c>
      <c r="AQ8" s="97" t="s">
        <v>246</v>
      </c>
      <c r="AR8" s="97">
        <v>180</v>
      </c>
      <c r="AS8" s="98">
        <v>0.06</v>
      </c>
      <c r="AT8" s="98">
        <v>0.02</v>
      </c>
      <c r="AU8" s="98">
        <v>9.99</v>
      </c>
      <c r="AV8" s="94">
        <f>AU8*4+AT8*9+AS8*4</f>
        <v>40.380000000000003</v>
      </c>
      <c r="AW8" s="98">
        <v>0.03</v>
      </c>
      <c r="AX8" s="204"/>
      <c r="AY8" s="103"/>
      <c r="BA8" s="103" t="s">
        <v>209</v>
      </c>
      <c r="BB8" s="103">
        <v>40</v>
      </c>
      <c r="BC8" s="103">
        <v>5.0999999999999996</v>
      </c>
      <c r="BD8" s="191">
        <v>4.5999999999999996</v>
      </c>
      <c r="BE8" s="103">
        <v>0.3</v>
      </c>
      <c r="BF8" s="190">
        <v>48.6</v>
      </c>
      <c r="BG8" s="103"/>
      <c r="BH8" s="214"/>
      <c r="BI8" s="103"/>
      <c r="BJ8" s="108"/>
      <c r="BK8" s="108" t="s">
        <v>43</v>
      </c>
      <c r="BL8" s="97">
        <v>100</v>
      </c>
      <c r="BM8" s="100">
        <v>0.4</v>
      </c>
      <c r="BN8" s="100">
        <v>0.4</v>
      </c>
      <c r="BO8" s="100">
        <v>9.8000000000000007</v>
      </c>
      <c r="BP8" s="94">
        <f t="shared" si="2"/>
        <v>44.400000000000006</v>
      </c>
      <c r="BQ8" s="98">
        <v>10</v>
      </c>
      <c r="BR8" s="214"/>
      <c r="BS8" s="103"/>
      <c r="BU8" s="157" t="s">
        <v>221</v>
      </c>
      <c r="BV8" s="82">
        <v>60</v>
      </c>
      <c r="BW8" s="145">
        <v>0.77</v>
      </c>
      <c r="BX8" s="145">
        <v>3.08</v>
      </c>
      <c r="BY8" s="145">
        <v>6.56</v>
      </c>
      <c r="BZ8" s="106">
        <f t="shared" ref="BZ8" si="6">BY8*4+BX8*9+BW8*4</f>
        <v>57.039999999999992</v>
      </c>
      <c r="CA8" s="145">
        <v>3</v>
      </c>
      <c r="CB8" s="214"/>
      <c r="CC8" s="103"/>
      <c r="CD8" s="97">
        <v>397</v>
      </c>
      <c r="CE8" s="97" t="s">
        <v>50</v>
      </c>
      <c r="CF8" s="97">
        <v>180</v>
      </c>
      <c r="CG8" s="185">
        <v>3.15</v>
      </c>
      <c r="CH8" s="185">
        <v>2.72</v>
      </c>
      <c r="CI8" s="185">
        <v>13</v>
      </c>
      <c r="CJ8" s="185">
        <v>88.92</v>
      </c>
      <c r="CK8" s="185">
        <v>1.6</v>
      </c>
      <c r="CL8" s="214"/>
      <c r="CM8" s="103"/>
      <c r="CN8" s="103">
        <v>178</v>
      </c>
      <c r="CO8" s="157" t="s">
        <v>223</v>
      </c>
      <c r="CP8" s="82">
        <v>50</v>
      </c>
      <c r="CQ8" s="158">
        <v>10.6</v>
      </c>
      <c r="CR8" s="158">
        <v>7.91</v>
      </c>
      <c r="CS8" s="158">
        <v>7.44</v>
      </c>
      <c r="CT8" s="186">
        <v>144</v>
      </c>
      <c r="CU8" s="158"/>
      <c r="CV8" s="204"/>
    </row>
    <row r="9" spans="1:162" x14ac:dyDescent="0.35">
      <c r="B9" s="97">
        <v>392</v>
      </c>
      <c r="C9" s="97" t="s">
        <v>246</v>
      </c>
      <c r="D9" s="97">
        <v>180</v>
      </c>
      <c r="E9" s="106">
        <v>0.06</v>
      </c>
      <c r="F9" s="106">
        <v>0.02</v>
      </c>
      <c r="G9" s="106">
        <v>9.99</v>
      </c>
      <c r="H9" s="100">
        <v>40.4</v>
      </c>
      <c r="I9" s="93">
        <v>0.03</v>
      </c>
      <c r="J9" s="204"/>
      <c r="K9" s="103"/>
      <c r="L9" s="97">
        <v>368</v>
      </c>
      <c r="M9" s="97" t="s">
        <v>43</v>
      </c>
      <c r="N9" s="97">
        <v>100</v>
      </c>
      <c r="O9" s="100">
        <v>0.4</v>
      </c>
      <c r="P9" s="100">
        <v>0.4</v>
      </c>
      <c r="Q9" s="100">
        <v>9.8000000000000007</v>
      </c>
      <c r="R9" s="94">
        <f t="shared" si="1"/>
        <v>44.400000000000006</v>
      </c>
      <c r="S9" s="100">
        <v>10</v>
      </c>
      <c r="T9" s="204"/>
      <c r="U9" s="103"/>
      <c r="V9" s="97"/>
      <c r="W9" s="148" t="s">
        <v>160</v>
      </c>
      <c r="X9" s="96">
        <v>50</v>
      </c>
      <c r="Y9" s="106">
        <v>3.3</v>
      </c>
      <c r="Z9" s="185">
        <v>0.36</v>
      </c>
      <c r="AA9" s="106">
        <v>16.7</v>
      </c>
      <c r="AB9" s="94">
        <v>83.24</v>
      </c>
      <c r="AC9" s="98"/>
      <c r="AD9" s="204"/>
      <c r="AE9" s="103"/>
      <c r="AF9" s="97">
        <v>368</v>
      </c>
      <c r="AG9" s="97" t="s">
        <v>43</v>
      </c>
      <c r="AH9" s="97">
        <v>100</v>
      </c>
      <c r="AI9" s="100">
        <v>0.4</v>
      </c>
      <c r="AJ9" s="100">
        <v>0.4</v>
      </c>
      <c r="AK9" s="100">
        <v>9.8000000000000007</v>
      </c>
      <c r="AL9" s="106">
        <f t="shared" si="5"/>
        <v>44.400000000000006</v>
      </c>
      <c r="AM9" s="100">
        <v>10</v>
      </c>
      <c r="AN9" s="204"/>
      <c r="AO9" s="103"/>
      <c r="AP9" s="97"/>
      <c r="AQ9" s="97" t="s">
        <v>34</v>
      </c>
      <c r="AR9" s="97">
        <v>30</v>
      </c>
      <c r="AS9" s="106">
        <v>2.37</v>
      </c>
      <c r="AT9" s="106">
        <v>0.3</v>
      </c>
      <c r="AU9" s="106">
        <v>14.49</v>
      </c>
      <c r="AV9" s="94">
        <v>70.14</v>
      </c>
      <c r="AW9" s="98"/>
      <c r="AX9" s="204"/>
      <c r="AY9" s="103"/>
      <c r="AZ9" s="97">
        <v>400</v>
      </c>
      <c r="BA9" s="97" t="s">
        <v>161</v>
      </c>
      <c r="BB9" s="97">
        <v>180</v>
      </c>
      <c r="BC9" s="185">
        <v>5.48</v>
      </c>
      <c r="BD9" s="185">
        <v>4.88</v>
      </c>
      <c r="BE9" s="185">
        <v>9.07</v>
      </c>
      <c r="BF9" s="100">
        <f t="shared" ref="BF9" si="7">BE9*4+BD9*9+BC9*4</f>
        <v>102.12</v>
      </c>
      <c r="BG9" s="185">
        <v>2.46</v>
      </c>
      <c r="BH9" s="214"/>
      <c r="BI9" s="103"/>
      <c r="BJ9" s="102"/>
      <c r="BK9" s="102"/>
      <c r="BL9" s="102"/>
      <c r="BM9" s="103"/>
      <c r="BN9" s="103"/>
      <c r="BO9" s="110"/>
      <c r="BP9" s="110"/>
      <c r="BQ9" s="103"/>
      <c r="BR9" s="214"/>
      <c r="BS9" s="103"/>
      <c r="BT9" s="97">
        <v>392</v>
      </c>
      <c r="BU9" s="97" t="s">
        <v>246</v>
      </c>
      <c r="BV9" s="97">
        <v>180</v>
      </c>
      <c r="BW9" s="100">
        <v>0.06</v>
      </c>
      <c r="BX9" s="100">
        <v>0.02</v>
      </c>
      <c r="BY9" s="100">
        <v>9.99</v>
      </c>
      <c r="BZ9" s="106">
        <v>40.4</v>
      </c>
      <c r="CA9" s="100">
        <v>0.03</v>
      </c>
      <c r="CB9" s="214"/>
      <c r="CC9" s="103"/>
      <c r="CD9" s="97"/>
      <c r="CE9" s="97" t="s">
        <v>160</v>
      </c>
      <c r="CF9" s="97">
        <v>25</v>
      </c>
      <c r="CG9" s="100">
        <v>1.65</v>
      </c>
      <c r="CH9" s="100">
        <v>0.18</v>
      </c>
      <c r="CI9" s="100">
        <v>8.5299999999999994</v>
      </c>
      <c r="CJ9" s="185">
        <v>41.62</v>
      </c>
      <c r="CK9" s="100"/>
      <c r="CL9" s="214"/>
      <c r="CM9" s="103"/>
      <c r="CN9" s="97">
        <v>392</v>
      </c>
      <c r="CO9" s="97" t="s">
        <v>245</v>
      </c>
      <c r="CP9" s="97">
        <v>180</v>
      </c>
      <c r="CQ9" s="100">
        <v>0.06</v>
      </c>
      <c r="CR9" s="100">
        <v>0.02</v>
      </c>
      <c r="CS9" s="100">
        <v>9.99</v>
      </c>
      <c r="CT9" s="106">
        <f t="shared" ref="CT9" si="8">CS9*4+CR9*9+CQ9*4</f>
        <v>40.380000000000003</v>
      </c>
      <c r="CU9" s="100">
        <v>0.03</v>
      </c>
      <c r="CV9" s="204"/>
    </row>
    <row r="10" spans="1:162" x14ac:dyDescent="0.35">
      <c r="B10" s="97"/>
      <c r="C10" s="96" t="s">
        <v>34</v>
      </c>
      <c r="D10" s="96">
        <v>40</v>
      </c>
      <c r="E10" s="93">
        <v>3.16</v>
      </c>
      <c r="F10" s="93">
        <v>0.4</v>
      </c>
      <c r="G10" s="94">
        <v>19.32</v>
      </c>
      <c r="H10" s="100">
        <f t="shared" si="3"/>
        <v>93.52</v>
      </c>
      <c r="I10" s="93"/>
      <c r="J10" s="204"/>
      <c r="K10" s="103"/>
      <c r="L10" s="97"/>
      <c r="M10" s="97" t="s">
        <v>34</v>
      </c>
      <c r="N10" s="97">
        <v>20</v>
      </c>
      <c r="O10" s="100">
        <f>7.9*20/100</f>
        <v>1.58</v>
      </c>
      <c r="P10" s="100">
        <f>1*20/100</f>
        <v>0.2</v>
      </c>
      <c r="Q10" s="100">
        <f>48.3*20/100</f>
        <v>9.66</v>
      </c>
      <c r="R10" s="94">
        <v>46.76</v>
      </c>
      <c r="S10" s="100"/>
      <c r="T10" s="204"/>
      <c r="U10" s="103"/>
      <c r="AD10" s="204"/>
      <c r="AE10" s="103"/>
      <c r="AN10" s="204"/>
      <c r="AO10" s="103"/>
      <c r="AX10" s="204"/>
      <c r="AY10" s="103"/>
      <c r="AZ10" s="97"/>
      <c r="BA10" s="97" t="s">
        <v>34</v>
      </c>
      <c r="BB10" s="97">
        <v>30</v>
      </c>
      <c r="BC10" s="100">
        <v>2.37</v>
      </c>
      <c r="BD10" s="100">
        <v>0.3</v>
      </c>
      <c r="BE10" s="100">
        <v>14.49</v>
      </c>
      <c r="BF10" s="94">
        <f t="shared" ref="BF10" si="9">BE10*4+BD10*9+BC10*4</f>
        <v>70.14</v>
      </c>
      <c r="BG10" s="98"/>
      <c r="BH10" s="214"/>
      <c r="BI10" s="103"/>
      <c r="BK10" s="103"/>
      <c r="BL10" s="103"/>
      <c r="BM10" s="103"/>
      <c r="BN10" s="103"/>
      <c r="BO10" s="103"/>
      <c r="BP10" s="103"/>
      <c r="BQ10" s="103"/>
      <c r="BR10" s="214"/>
      <c r="BS10" s="103"/>
      <c r="BT10" s="154"/>
      <c r="BU10" s="97" t="s">
        <v>34</v>
      </c>
      <c r="BV10" s="97">
        <v>20</v>
      </c>
      <c r="BW10" s="100">
        <f>7.9*20/100</f>
        <v>1.58</v>
      </c>
      <c r="BX10" s="100">
        <f>1*20/100</f>
        <v>0.2</v>
      </c>
      <c r="BY10" s="100">
        <f>48.3*20/100</f>
        <v>9.66</v>
      </c>
      <c r="BZ10" s="106">
        <f>BY10*4+BX10*9+BW10*4</f>
        <v>46.76</v>
      </c>
      <c r="CA10" s="100"/>
      <c r="CB10" s="214"/>
      <c r="CC10" s="103"/>
      <c r="CD10" s="97"/>
      <c r="CE10" s="97"/>
      <c r="CF10" s="97"/>
      <c r="CG10" s="161"/>
      <c r="CH10" s="161"/>
      <c r="CI10" s="161"/>
      <c r="CJ10" s="161"/>
      <c r="CK10" s="161"/>
      <c r="CL10" s="214"/>
      <c r="CM10" s="103"/>
      <c r="CN10" s="97"/>
      <c r="CO10" s="97" t="s">
        <v>160</v>
      </c>
      <c r="CP10" s="97">
        <v>25</v>
      </c>
      <c r="CQ10" s="100">
        <v>1.65</v>
      </c>
      <c r="CR10" s="100">
        <v>0.18</v>
      </c>
      <c r="CS10" s="100">
        <v>8.5299999999999994</v>
      </c>
      <c r="CT10" s="106">
        <v>41.62</v>
      </c>
      <c r="CU10" s="100"/>
      <c r="CV10" s="204"/>
    </row>
    <row r="11" spans="1:162" x14ac:dyDescent="0.35">
      <c r="J11" s="204"/>
      <c r="K11" s="103"/>
      <c r="T11" s="204"/>
      <c r="U11" s="103"/>
      <c r="W11" s="103"/>
      <c r="X11" s="103"/>
      <c r="Y11" s="111"/>
      <c r="Z11" s="111"/>
      <c r="AA11" s="111"/>
      <c r="AB11" s="111"/>
      <c r="AC11" s="103"/>
      <c r="AD11" s="204"/>
      <c r="AE11" s="103"/>
      <c r="AG11" s="103"/>
      <c r="AH11" s="103"/>
      <c r="AI11" s="103"/>
      <c r="AJ11" s="103"/>
      <c r="AK11" s="103"/>
      <c r="AL11" s="103"/>
      <c r="AM11" s="103"/>
      <c r="AN11" s="204"/>
      <c r="AO11" s="103"/>
      <c r="AX11" s="204"/>
      <c r="AY11" s="103"/>
      <c r="BA11" s="103"/>
      <c r="BB11" s="103"/>
      <c r="BC11" s="103"/>
      <c r="BD11" s="103"/>
      <c r="BE11" s="103"/>
      <c r="BF11" s="103"/>
      <c r="BG11" s="103"/>
      <c r="BH11" s="214"/>
      <c r="BI11" s="103"/>
      <c r="BK11" s="103"/>
      <c r="BL11" s="103"/>
      <c r="BM11" s="103"/>
      <c r="BN11" s="103"/>
      <c r="BO11" s="103"/>
      <c r="BP11" s="103"/>
      <c r="BQ11" s="103"/>
      <c r="BR11" s="214"/>
      <c r="BS11" s="103"/>
      <c r="BT11" s="97">
        <v>368</v>
      </c>
      <c r="BU11" s="97" t="s">
        <v>43</v>
      </c>
      <c r="BV11" s="97">
        <v>100</v>
      </c>
      <c r="BW11" s="100">
        <v>0.4</v>
      </c>
      <c r="BX11" s="100">
        <v>0.4</v>
      </c>
      <c r="BY11" s="100">
        <v>9.8000000000000007</v>
      </c>
      <c r="BZ11" s="94">
        <f>BY11*4+BX11*9+BW11*4</f>
        <v>44.400000000000006</v>
      </c>
      <c r="CA11" s="100">
        <v>10</v>
      </c>
      <c r="CB11" s="214"/>
      <c r="CC11" s="103"/>
      <c r="CE11" s="103"/>
      <c r="CF11" s="160"/>
      <c r="CG11" s="162"/>
      <c r="CH11" s="162"/>
      <c r="CI11" s="162"/>
      <c r="CJ11" s="162"/>
      <c r="CK11" s="162"/>
      <c r="CL11" s="219"/>
      <c r="CM11" s="103"/>
      <c r="CO11" s="103"/>
      <c r="CP11" s="103"/>
      <c r="CQ11" s="111"/>
      <c r="CR11" s="111"/>
      <c r="CS11" s="111"/>
      <c r="CT11" s="111"/>
      <c r="CU11" s="111"/>
      <c r="CV11" s="204"/>
    </row>
    <row r="12" spans="1:162" x14ac:dyDescent="0.35">
      <c r="A12" s="113" t="s">
        <v>33</v>
      </c>
      <c r="B12" s="115"/>
      <c r="C12" s="113"/>
      <c r="D12" s="114">
        <f t="shared" ref="D12:I12" si="10">SUM(D5:D10)</f>
        <v>575</v>
      </c>
      <c r="E12" s="114">
        <f t="shared" si="10"/>
        <v>35.519999999999996</v>
      </c>
      <c r="F12" s="114">
        <f t="shared" si="10"/>
        <v>29.11</v>
      </c>
      <c r="G12" s="114">
        <f t="shared" si="10"/>
        <v>85.88</v>
      </c>
      <c r="H12" s="114">
        <f t="shared" si="10"/>
        <v>747.78</v>
      </c>
      <c r="I12" s="114">
        <f t="shared" si="10"/>
        <v>2.992</v>
      </c>
      <c r="J12" s="204"/>
      <c r="K12" s="115" t="s">
        <v>33</v>
      </c>
      <c r="L12" s="115"/>
      <c r="M12" s="115"/>
      <c r="N12" s="116">
        <f t="shared" ref="N12:S12" si="11">SUM(N5:N10)</f>
        <v>530</v>
      </c>
      <c r="O12" s="116">
        <f t="shared" si="11"/>
        <v>23.15</v>
      </c>
      <c r="P12" s="116">
        <f t="shared" si="11"/>
        <v>29.089999999999996</v>
      </c>
      <c r="Q12" s="116">
        <f t="shared" si="11"/>
        <v>70.539999999999992</v>
      </c>
      <c r="R12" s="116">
        <f t="shared" si="11"/>
        <v>636.31999999999994</v>
      </c>
      <c r="S12" s="116">
        <f t="shared" si="11"/>
        <v>12.58</v>
      </c>
      <c r="T12" s="204"/>
      <c r="U12" s="115" t="s">
        <v>33</v>
      </c>
      <c r="V12" s="115"/>
      <c r="W12" s="115"/>
      <c r="X12" s="116">
        <f>SUM(X5:X11)</f>
        <v>510</v>
      </c>
      <c r="Y12" s="116">
        <f t="shared" ref="Y12:AC12" si="12">SUM(Y5:Y11)</f>
        <v>27.790000000000003</v>
      </c>
      <c r="Z12" s="116">
        <f t="shared" si="12"/>
        <v>26.07</v>
      </c>
      <c r="AA12" s="116">
        <f t="shared" si="12"/>
        <v>65.58</v>
      </c>
      <c r="AB12" s="116">
        <f t="shared" si="12"/>
        <v>607.23</v>
      </c>
      <c r="AC12" s="116">
        <f t="shared" si="12"/>
        <v>1.17</v>
      </c>
      <c r="AD12" s="204"/>
      <c r="AE12" s="115" t="s">
        <v>33</v>
      </c>
      <c r="AF12" s="115"/>
      <c r="AG12" s="115"/>
      <c r="AH12" s="116">
        <f>SUM(AH5:AH11)</f>
        <v>535</v>
      </c>
      <c r="AI12" s="116">
        <f t="shared" ref="AI12:AK12" si="13">SUM(AI5:AI11)</f>
        <v>14.030000000000001</v>
      </c>
      <c r="AJ12" s="116">
        <f t="shared" si="13"/>
        <v>11.138000000000002</v>
      </c>
      <c r="AK12" s="116">
        <f t="shared" si="13"/>
        <v>59.42</v>
      </c>
      <c r="AL12" s="116">
        <f t="shared" ref="AL12:AM12" si="14">SUM(AL5:AL8)</f>
        <v>350.28</v>
      </c>
      <c r="AM12" s="116">
        <f t="shared" si="14"/>
        <v>2.2400000000000002</v>
      </c>
      <c r="AN12" s="204"/>
      <c r="AO12" s="115" t="s">
        <v>33</v>
      </c>
      <c r="AP12" s="115"/>
      <c r="AQ12" s="115"/>
      <c r="AR12" s="116">
        <f t="shared" ref="AR12:AW12" si="15">SUM(AR5:AR11)</f>
        <v>520</v>
      </c>
      <c r="AS12" s="116">
        <f t="shared" si="15"/>
        <v>19.25</v>
      </c>
      <c r="AT12" s="116">
        <f t="shared" si="15"/>
        <v>13.860000000000001</v>
      </c>
      <c r="AU12" s="116">
        <f t="shared" si="15"/>
        <v>70.72</v>
      </c>
      <c r="AV12" s="116">
        <f t="shared" si="15"/>
        <v>484.62</v>
      </c>
      <c r="AW12" s="116">
        <f t="shared" si="15"/>
        <v>7.38</v>
      </c>
      <c r="AX12" s="204"/>
      <c r="AY12" s="115" t="s">
        <v>33</v>
      </c>
      <c r="AZ12" s="115"/>
      <c r="BA12" s="115"/>
      <c r="BB12" s="116">
        <f>SUM(BB5:BB11)</f>
        <v>470</v>
      </c>
      <c r="BC12" s="116">
        <f>SUM(BC5:BC10)</f>
        <v>29.183870967741939</v>
      </c>
      <c r="BD12" s="116">
        <f>SUM(BD5:BD10)</f>
        <v>30.048709677419353</v>
      </c>
      <c r="BE12" s="116">
        <f>SUM(BE5:BE10)</f>
        <v>60.891129032258064</v>
      </c>
      <c r="BF12" s="116">
        <f>SUM(BF5:BF10)</f>
        <v>616.41838709677415</v>
      </c>
      <c r="BG12" s="116">
        <f>SUM(BG5:BG10)</f>
        <v>2.9796774193548385</v>
      </c>
      <c r="BH12" s="214"/>
      <c r="BI12" s="115" t="s">
        <v>33</v>
      </c>
      <c r="BJ12" s="115"/>
      <c r="BK12" s="115"/>
      <c r="BL12" s="116">
        <f>SUM(BL5:BL11)</f>
        <v>525</v>
      </c>
      <c r="BM12" s="116">
        <f t="shared" ref="BM12:BQ12" si="16">SUM(BM5:BM11)</f>
        <v>11.77</v>
      </c>
      <c r="BN12" s="116">
        <f t="shared" si="16"/>
        <v>15.17</v>
      </c>
      <c r="BO12" s="116">
        <f t="shared" si="16"/>
        <v>57.790000000000006</v>
      </c>
      <c r="BP12" s="116">
        <f t="shared" si="16"/>
        <v>414.53</v>
      </c>
      <c r="BQ12" s="116">
        <f t="shared" si="16"/>
        <v>11.24</v>
      </c>
      <c r="BR12" s="214"/>
      <c r="BS12" s="115" t="s">
        <v>33</v>
      </c>
      <c r="BT12" s="115"/>
      <c r="BU12" s="115"/>
      <c r="BV12" s="116">
        <f t="shared" ref="BV12:CA12" si="17">SUM(BV5:BV11)</f>
        <v>575</v>
      </c>
      <c r="BW12" s="116">
        <f t="shared" si="17"/>
        <v>14.840000000000002</v>
      </c>
      <c r="BX12" s="116">
        <f t="shared" si="17"/>
        <v>13.654999999999999</v>
      </c>
      <c r="BY12" s="116">
        <f t="shared" si="17"/>
        <v>58.209999999999994</v>
      </c>
      <c r="BZ12" s="116">
        <f t="shared" si="17"/>
        <v>416</v>
      </c>
      <c r="CA12" s="116">
        <f t="shared" si="17"/>
        <v>13.29</v>
      </c>
      <c r="CB12" s="214"/>
      <c r="CC12" s="115" t="s">
        <v>33</v>
      </c>
      <c r="CD12" s="115"/>
      <c r="CE12" s="115"/>
      <c r="CF12" s="150">
        <f>SUM(CF5:CF11)</f>
        <v>475</v>
      </c>
      <c r="CG12" s="150">
        <f t="shared" ref="CG12:CK12" si="18">SUM(CG5:CG11)</f>
        <v>12.920000000000002</v>
      </c>
      <c r="CH12" s="150">
        <f t="shared" si="18"/>
        <v>17.029999999999998</v>
      </c>
      <c r="CI12" s="150">
        <f t="shared" si="18"/>
        <v>52.900000000000006</v>
      </c>
      <c r="CJ12" s="150">
        <f t="shared" si="18"/>
        <v>388.52000000000004</v>
      </c>
      <c r="CK12" s="150">
        <f t="shared" si="18"/>
        <v>7.24</v>
      </c>
      <c r="CL12" s="214"/>
      <c r="CM12" s="115" t="s">
        <v>33</v>
      </c>
      <c r="CN12" s="115"/>
      <c r="CO12" s="115"/>
      <c r="CP12" s="116">
        <f t="shared" ref="CP12:CU12" si="19">SUM(CP5:CP11)</f>
        <v>550</v>
      </c>
      <c r="CQ12" s="116">
        <f t="shared" si="19"/>
        <v>24.88</v>
      </c>
      <c r="CR12" s="116">
        <f t="shared" si="19"/>
        <v>27.65</v>
      </c>
      <c r="CS12" s="116">
        <f t="shared" si="19"/>
        <v>76.25</v>
      </c>
      <c r="CT12" s="116">
        <f t="shared" si="19"/>
        <v>653.41000000000008</v>
      </c>
      <c r="CU12" s="116">
        <f t="shared" si="19"/>
        <v>1.4200000000000002</v>
      </c>
      <c r="CV12" s="204"/>
    </row>
    <row r="13" spans="1:162" x14ac:dyDescent="0.35">
      <c r="A13" s="113" t="s">
        <v>30</v>
      </c>
      <c r="B13" s="115"/>
      <c r="C13" s="113"/>
      <c r="D13" s="113" t="s">
        <v>35</v>
      </c>
      <c r="E13" s="113">
        <v>13.5</v>
      </c>
      <c r="F13" s="113">
        <v>15</v>
      </c>
      <c r="G13" s="114">
        <v>65.25</v>
      </c>
      <c r="H13" s="114">
        <v>450</v>
      </c>
      <c r="I13" s="113"/>
      <c r="J13" s="204"/>
      <c r="K13" s="115" t="s">
        <v>30</v>
      </c>
      <c r="L13" s="115"/>
      <c r="M13" s="115"/>
      <c r="N13" s="115" t="s">
        <v>35</v>
      </c>
      <c r="O13" s="115">
        <v>13.5</v>
      </c>
      <c r="P13" s="115">
        <v>15</v>
      </c>
      <c r="Q13" s="116">
        <v>65.25</v>
      </c>
      <c r="R13" s="116">
        <v>450</v>
      </c>
      <c r="S13" s="115"/>
      <c r="T13" s="204"/>
      <c r="U13" s="115" t="s">
        <v>30</v>
      </c>
      <c r="V13" s="115"/>
      <c r="W13" s="115"/>
      <c r="X13" s="115" t="s">
        <v>35</v>
      </c>
      <c r="Y13" s="115">
        <v>13.5</v>
      </c>
      <c r="Z13" s="115">
        <v>15</v>
      </c>
      <c r="AA13" s="116">
        <v>65.25</v>
      </c>
      <c r="AB13" s="116">
        <v>450</v>
      </c>
      <c r="AC13" s="115"/>
      <c r="AD13" s="204"/>
      <c r="AE13" s="115" t="s">
        <v>30</v>
      </c>
      <c r="AF13" s="115"/>
      <c r="AG13" s="115"/>
      <c r="AH13" s="115" t="s">
        <v>35</v>
      </c>
      <c r="AI13" s="115">
        <v>13.5</v>
      </c>
      <c r="AJ13" s="115">
        <v>15</v>
      </c>
      <c r="AK13" s="116">
        <v>65.25</v>
      </c>
      <c r="AL13" s="116">
        <v>450</v>
      </c>
      <c r="AM13" s="115"/>
      <c r="AN13" s="204"/>
      <c r="AO13" s="115" t="s">
        <v>30</v>
      </c>
      <c r="AP13" s="115"/>
      <c r="AQ13" s="115"/>
      <c r="AR13" s="115" t="s">
        <v>35</v>
      </c>
      <c r="AS13" s="115">
        <v>13.5</v>
      </c>
      <c r="AT13" s="115">
        <v>15</v>
      </c>
      <c r="AU13" s="116">
        <v>65.25</v>
      </c>
      <c r="AV13" s="116">
        <v>450</v>
      </c>
      <c r="AW13" s="115"/>
      <c r="AX13" s="204"/>
      <c r="AY13" s="115" t="s">
        <v>30</v>
      </c>
      <c r="AZ13" s="115"/>
      <c r="BA13" s="115"/>
      <c r="BB13" s="115" t="s">
        <v>35</v>
      </c>
      <c r="BC13" s="115">
        <v>13.5</v>
      </c>
      <c r="BD13" s="115">
        <v>15</v>
      </c>
      <c r="BE13" s="116">
        <v>65.25</v>
      </c>
      <c r="BF13" s="116">
        <v>450</v>
      </c>
      <c r="BG13" s="115"/>
      <c r="BH13" s="214"/>
      <c r="BI13" s="115" t="s">
        <v>30</v>
      </c>
      <c r="BJ13" s="115"/>
      <c r="BK13" s="115"/>
      <c r="BL13" s="115" t="s">
        <v>35</v>
      </c>
      <c r="BM13" s="115">
        <v>13.5</v>
      </c>
      <c r="BN13" s="115">
        <v>15</v>
      </c>
      <c r="BO13" s="116">
        <v>65.25</v>
      </c>
      <c r="BP13" s="116">
        <v>450</v>
      </c>
      <c r="BQ13" s="115"/>
      <c r="BR13" s="214"/>
      <c r="BS13" s="115" t="s">
        <v>30</v>
      </c>
      <c r="BT13" s="115"/>
      <c r="BU13" s="115"/>
      <c r="BV13" s="115" t="s">
        <v>35</v>
      </c>
      <c r="BW13" s="115">
        <v>13.5</v>
      </c>
      <c r="BX13" s="115">
        <v>15</v>
      </c>
      <c r="BY13" s="116">
        <v>65.25</v>
      </c>
      <c r="BZ13" s="116">
        <v>450</v>
      </c>
      <c r="CA13" s="115"/>
      <c r="CB13" s="214"/>
      <c r="CC13" s="115" t="s">
        <v>30</v>
      </c>
      <c r="CD13" s="115"/>
      <c r="CE13" s="115"/>
      <c r="CF13" s="115" t="s">
        <v>35</v>
      </c>
      <c r="CG13" s="115">
        <v>13.5</v>
      </c>
      <c r="CH13" s="115">
        <v>15</v>
      </c>
      <c r="CI13" s="116">
        <v>65.25</v>
      </c>
      <c r="CJ13" s="116">
        <v>450</v>
      </c>
      <c r="CK13" s="115"/>
      <c r="CL13" s="214"/>
      <c r="CM13" s="115" t="s">
        <v>30</v>
      </c>
      <c r="CN13" s="115"/>
      <c r="CO13" s="115"/>
      <c r="CP13" s="115" t="s">
        <v>35</v>
      </c>
      <c r="CQ13" s="115">
        <v>13.5</v>
      </c>
      <c r="CR13" s="115">
        <v>15</v>
      </c>
      <c r="CS13" s="116">
        <v>65.25</v>
      </c>
      <c r="CT13" s="116">
        <v>450</v>
      </c>
      <c r="CU13" s="115"/>
      <c r="CV13" s="204"/>
    </row>
    <row r="14" spans="1:162" x14ac:dyDescent="0.35">
      <c r="J14" s="204"/>
      <c r="K14" s="117"/>
      <c r="M14" s="117"/>
      <c r="N14" s="117"/>
      <c r="O14" s="117"/>
      <c r="P14" s="117"/>
      <c r="Q14" s="118"/>
      <c r="R14" s="118"/>
      <c r="S14" s="117"/>
      <c r="T14" s="204"/>
      <c r="U14" s="103"/>
      <c r="W14" s="103"/>
      <c r="X14" s="103"/>
      <c r="Y14" s="103"/>
      <c r="Z14" s="103"/>
      <c r="AA14" s="110"/>
      <c r="AB14" s="110"/>
      <c r="AC14" s="103"/>
      <c r="AD14" s="204"/>
      <c r="AE14" s="103"/>
      <c r="AG14" s="103"/>
      <c r="AH14" s="103"/>
      <c r="AI14" s="103"/>
      <c r="AJ14" s="103"/>
      <c r="AK14" s="110"/>
      <c r="AL14" s="110"/>
      <c r="AM14" s="103"/>
      <c r="AN14" s="204"/>
      <c r="AO14" s="103"/>
      <c r="AQ14" s="103"/>
      <c r="AR14" s="103"/>
      <c r="AS14" s="103"/>
      <c r="AT14" s="103"/>
      <c r="AU14" s="110"/>
      <c r="AV14" s="110"/>
      <c r="AW14" s="103"/>
      <c r="AX14" s="204"/>
      <c r="AY14" s="103"/>
      <c r="BA14" s="103"/>
      <c r="BB14" s="103"/>
      <c r="BC14" s="103"/>
      <c r="BD14" s="103"/>
      <c r="BE14" s="110"/>
      <c r="BF14" s="110"/>
      <c r="BG14" s="103"/>
      <c r="BH14" s="214"/>
      <c r="BI14" s="103"/>
      <c r="BK14" s="103"/>
      <c r="BL14" s="103"/>
      <c r="BM14" s="103"/>
      <c r="BN14" s="103"/>
      <c r="BO14" s="110"/>
      <c r="BP14" s="110"/>
      <c r="BQ14" s="103"/>
      <c r="BR14" s="214"/>
      <c r="BS14" s="103"/>
      <c r="BU14" s="103"/>
      <c r="BV14" s="103"/>
      <c r="BW14" s="103"/>
      <c r="BX14" s="103"/>
      <c r="BY14" s="110"/>
      <c r="BZ14" s="110"/>
      <c r="CA14" s="103"/>
      <c r="CB14" s="214"/>
      <c r="CC14" s="103"/>
      <c r="CE14" s="103"/>
      <c r="CF14" s="103"/>
      <c r="CG14" s="103"/>
      <c r="CH14" s="103"/>
      <c r="CI14" s="110"/>
      <c r="CJ14" s="110"/>
      <c r="CK14" s="103"/>
      <c r="CL14" s="214"/>
      <c r="CM14" s="117"/>
      <c r="CO14" s="117"/>
      <c r="CP14" s="117"/>
      <c r="CQ14" s="117"/>
      <c r="CR14" s="117"/>
      <c r="CS14" s="118"/>
      <c r="CT14" s="118"/>
      <c r="CU14" s="117"/>
      <c r="CV14" s="204"/>
    </row>
    <row r="15" spans="1:162" s="92" customFormat="1" x14ac:dyDescent="0.35">
      <c r="A15" s="208" t="s">
        <v>0</v>
      </c>
      <c r="B15" s="209"/>
      <c r="C15" s="209"/>
      <c r="D15" s="209"/>
      <c r="E15" s="209"/>
      <c r="F15" s="209"/>
      <c r="G15" s="209"/>
      <c r="H15" s="209"/>
      <c r="I15" s="210"/>
      <c r="J15" s="204"/>
      <c r="K15" s="208" t="s">
        <v>0</v>
      </c>
      <c r="L15" s="209"/>
      <c r="M15" s="209"/>
      <c r="N15" s="209"/>
      <c r="O15" s="209"/>
      <c r="P15" s="209"/>
      <c r="Q15" s="209"/>
      <c r="R15" s="209"/>
      <c r="S15" s="210"/>
      <c r="T15" s="204"/>
      <c r="U15" s="208" t="s">
        <v>0</v>
      </c>
      <c r="V15" s="209"/>
      <c r="W15" s="209"/>
      <c r="X15" s="209"/>
      <c r="Y15" s="209"/>
      <c r="Z15" s="209"/>
      <c r="AA15" s="209"/>
      <c r="AB15" s="209"/>
      <c r="AC15" s="210"/>
      <c r="AD15" s="204"/>
      <c r="AE15" s="139" t="s">
        <v>192</v>
      </c>
      <c r="AF15" s="151"/>
      <c r="AG15" s="140"/>
      <c r="AH15" s="140"/>
      <c r="AI15" s="140"/>
      <c r="AJ15" s="140"/>
      <c r="AK15" s="140"/>
      <c r="AL15" s="140"/>
      <c r="AM15" s="141"/>
      <c r="AN15" s="204"/>
      <c r="AO15" s="208" t="s">
        <v>0</v>
      </c>
      <c r="AP15" s="209"/>
      <c r="AQ15" s="209"/>
      <c r="AR15" s="209"/>
      <c r="AS15" s="209"/>
      <c r="AT15" s="209"/>
      <c r="AU15" s="209"/>
      <c r="AV15" s="209"/>
      <c r="AW15" s="210"/>
      <c r="AX15" s="204"/>
      <c r="AY15" s="208" t="s">
        <v>0</v>
      </c>
      <c r="AZ15" s="209"/>
      <c r="BA15" s="209"/>
      <c r="BB15" s="209"/>
      <c r="BC15" s="209"/>
      <c r="BD15" s="209"/>
      <c r="BE15" s="209"/>
      <c r="BF15" s="209"/>
      <c r="BG15" s="210"/>
      <c r="BH15" s="214"/>
      <c r="BI15" s="208" t="s">
        <v>0</v>
      </c>
      <c r="BJ15" s="209"/>
      <c r="BK15" s="209"/>
      <c r="BL15" s="209"/>
      <c r="BM15" s="209"/>
      <c r="BN15" s="209"/>
      <c r="BO15" s="209"/>
      <c r="BP15" s="209"/>
      <c r="BQ15" s="210"/>
      <c r="BR15" s="214"/>
      <c r="BS15" s="208" t="s">
        <v>0</v>
      </c>
      <c r="BT15" s="209"/>
      <c r="BU15" s="209"/>
      <c r="BV15" s="209"/>
      <c r="BW15" s="209"/>
      <c r="BX15" s="209"/>
      <c r="BY15" s="209"/>
      <c r="BZ15" s="209"/>
      <c r="CA15" s="210"/>
      <c r="CB15" s="214"/>
      <c r="CC15" s="208" t="s">
        <v>0</v>
      </c>
      <c r="CD15" s="209"/>
      <c r="CE15" s="209"/>
      <c r="CF15" s="209"/>
      <c r="CG15" s="209"/>
      <c r="CH15" s="209"/>
      <c r="CI15" s="209"/>
      <c r="CJ15" s="209"/>
      <c r="CK15" s="210"/>
      <c r="CL15" s="214"/>
      <c r="CM15" s="208" t="s">
        <v>0</v>
      </c>
      <c r="CN15" s="209"/>
      <c r="CO15" s="209"/>
      <c r="CP15" s="209"/>
      <c r="CQ15" s="209"/>
      <c r="CR15" s="209"/>
      <c r="CS15" s="209"/>
      <c r="CT15" s="209"/>
      <c r="CU15" s="210"/>
      <c r="CV15" s="204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</row>
    <row r="16" spans="1:162" x14ac:dyDescent="0.35">
      <c r="B16" s="97">
        <v>399</v>
      </c>
      <c r="C16" s="153" t="s">
        <v>196</v>
      </c>
      <c r="D16" s="96">
        <v>200</v>
      </c>
      <c r="E16" s="191">
        <v>0.6</v>
      </c>
      <c r="F16" s="191">
        <v>0.2</v>
      </c>
      <c r="G16" s="192">
        <v>30.4</v>
      </c>
      <c r="H16" s="192">
        <v>125.8</v>
      </c>
      <c r="I16" s="191">
        <v>8</v>
      </c>
      <c r="J16" s="204"/>
      <c r="K16" s="117"/>
      <c r="L16" s="97">
        <v>401</v>
      </c>
      <c r="M16" s="97" t="s">
        <v>164</v>
      </c>
      <c r="N16" s="97">
        <v>200</v>
      </c>
      <c r="O16" s="98">
        <v>5.22</v>
      </c>
      <c r="P16" s="98">
        <v>4.5</v>
      </c>
      <c r="Q16" s="98">
        <v>7.56</v>
      </c>
      <c r="R16" s="100">
        <f t="shared" ref="R16" si="20">Q16*4+P16*9+O16*4</f>
        <v>91.61999999999999</v>
      </c>
      <c r="S16" s="98">
        <v>0.54</v>
      </c>
      <c r="T16" s="204"/>
      <c r="U16" s="103"/>
      <c r="V16" s="97">
        <v>401</v>
      </c>
      <c r="W16" s="148" t="s">
        <v>164</v>
      </c>
      <c r="X16" s="96">
        <v>200</v>
      </c>
      <c r="Y16" s="188">
        <v>5.22</v>
      </c>
      <c r="Z16" s="188">
        <v>4.5</v>
      </c>
      <c r="AA16" s="188">
        <v>7.56</v>
      </c>
      <c r="AB16" s="188">
        <v>91.62</v>
      </c>
      <c r="AC16" s="187">
        <v>0.54</v>
      </c>
      <c r="AD16" s="204"/>
      <c r="AE16" s="103"/>
      <c r="AF16" s="97"/>
      <c r="AG16" s="97" t="s">
        <v>42</v>
      </c>
      <c r="AH16" s="97">
        <v>165</v>
      </c>
      <c r="AI16" s="187">
        <v>0.78</v>
      </c>
      <c r="AJ16" s="187">
        <v>0</v>
      </c>
      <c r="AK16" s="187">
        <v>12.6</v>
      </c>
      <c r="AL16" s="187">
        <v>52.2</v>
      </c>
      <c r="AM16" s="187">
        <v>170</v>
      </c>
      <c r="AN16" s="204"/>
      <c r="AO16" s="103"/>
      <c r="AP16" s="97" t="s">
        <v>53</v>
      </c>
      <c r="AQ16" s="97" t="s">
        <v>42</v>
      </c>
      <c r="AR16" s="97">
        <v>165</v>
      </c>
      <c r="AS16" s="187">
        <v>0.78</v>
      </c>
      <c r="AT16" s="98">
        <v>0</v>
      </c>
      <c r="AU16" s="187">
        <v>12.6</v>
      </c>
      <c r="AV16" s="187">
        <v>52.2</v>
      </c>
      <c r="AW16" s="187">
        <v>170</v>
      </c>
      <c r="AX16" s="204"/>
      <c r="AY16" s="103"/>
      <c r="AZ16" s="97">
        <v>399</v>
      </c>
      <c r="BA16" s="97" t="s">
        <v>200</v>
      </c>
      <c r="BB16" s="97">
        <v>200</v>
      </c>
      <c r="BC16" s="119">
        <f>200*0.54/180</f>
        <v>0.6</v>
      </c>
      <c r="BD16" s="119">
        <f>200*0.18/180</f>
        <v>0.2</v>
      </c>
      <c r="BE16" s="119">
        <f>27.36*200/180</f>
        <v>30.4</v>
      </c>
      <c r="BF16" s="119">
        <f>BE16*4+BD16*9+BC16*4</f>
        <v>125.8</v>
      </c>
      <c r="BG16" s="98">
        <f>7.2*200/180</f>
        <v>8</v>
      </c>
      <c r="BH16" s="214"/>
      <c r="BI16" s="103"/>
      <c r="BJ16" s="104"/>
      <c r="BK16" s="97" t="s">
        <v>42</v>
      </c>
      <c r="BL16" s="97">
        <v>165</v>
      </c>
      <c r="BM16" s="187">
        <v>0.78</v>
      </c>
      <c r="BN16" s="98">
        <v>0</v>
      </c>
      <c r="BO16" s="187">
        <v>12.6</v>
      </c>
      <c r="BP16" s="187">
        <v>52.2</v>
      </c>
      <c r="BQ16" s="98"/>
      <c r="BR16" s="214"/>
      <c r="BS16" s="103"/>
      <c r="BT16" s="97">
        <v>399</v>
      </c>
      <c r="BU16" s="97" t="s">
        <v>204</v>
      </c>
      <c r="BV16" s="130">
        <v>200</v>
      </c>
      <c r="BW16" s="119">
        <f>200*0.54/180</f>
        <v>0.6</v>
      </c>
      <c r="BX16" s="119">
        <f>200*0.18/180</f>
        <v>0.2</v>
      </c>
      <c r="BY16" s="119">
        <f>27.36*200/180</f>
        <v>30.4</v>
      </c>
      <c r="BZ16" s="98">
        <f>BY16*4+BX16*9+BW16*4</f>
        <v>125.8</v>
      </c>
      <c r="CA16" s="98">
        <f>7.2*200/180</f>
        <v>8</v>
      </c>
      <c r="CB16" s="214"/>
      <c r="CC16" s="103"/>
      <c r="CD16" s="97">
        <v>399</v>
      </c>
      <c r="CE16" s="97" t="s">
        <v>204</v>
      </c>
      <c r="CF16" s="97">
        <v>180</v>
      </c>
      <c r="CG16" s="188">
        <v>0.54</v>
      </c>
      <c r="CH16" s="188">
        <v>0.18</v>
      </c>
      <c r="CI16" s="188">
        <v>27.36</v>
      </c>
      <c r="CJ16" s="119">
        <f>CI16*4+CH16*9+CG16*4</f>
        <v>113.22</v>
      </c>
      <c r="CK16" s="187">
        <v>7.2</v>
      </c>
      <c r="CL16" s="214"/>
      <c r="CM16" s="117"/>
      <c r="CN16" s="97">
        <v>399</v>
      </c>
      <c r="CO16" s="97" t="s">
        <v>204</v>
      </c>
      <c r="CP16" s="97">
        <v>180</v>
      </c>
      <c r="CQ16" s="188">
        <v>0.54</v>
      </c>
      <c r="CR16" s="188">
        <v>0.18</v>
      </c>
      <c r="CS16" s="188">
        <v>27.36</v>
      </c>
      <c r="CT16" s="119">
        <f>CS16*4+CR16*9+CQ16*4</f>
        <v>113.22</v>
      </c>
      <c r="CU16" s="187">
        <v>7.2</v>
      </c>
      <c r="CV16" s="204"/>
    </row>
    <row r="17" spans="1:162" x14ac:dyDescent="0.35">
      <c r="B17" s="97">
        <v>493</v>
      </c>
      <c r="C17" s="97" t="s">
        <v>163</v>
      </c>
      <c r="D17" s="97">
        <v>20</v>
      </c>
      <c r="E17" s="103">
        <v>4.0999999999999996</v>
      </c>
      <c r="F17" s="103">
        <v>2.2999999999999998</v>
      </c>
      <c r="G17" s="103">
        <v>13.2</v>
      </c>
      <c r="H17" s="103">
        <v>94</v>
      </c>
      <c r="J17" s="204"/>
      <c r="K17" s="117"/>
      <c r="Q17" s="120"/>
      <c r="R17" s="112"/>
      <c r="T17" s="204"/>
      <c r="U17" s="103"/>
      <c r="V17" s="97"/>
      <c r="W17" s="97" t="s">
        <v>163</v>
      </c>
      <c r="X17" s="97">
        <v>20</v>
      </c>
      <c r="Y17" s="98">
        <v>4.0999999999999996</v>
      </c>
      <c r="Z17" s="98">
        <v>2.2999999999999998</v>
      </c>
      <c r="AA17" s="98">
        <v>13.2</v>
      </c>
      <c r="AB17" s="98">
        <v>94</v>
      </c>
      <c r="AC17" s="98"/>
      <c r="AD17" s="204"/>
      <c r="AE17" s="103"/>
      <c r="AF17" s="97"/>
      <c r="AG17" s="97"/>
      <c r="AH17" s="109"/>
      <c r="AI17" s="106"/>
      <c r="AJ17" s="106"/>
      <c r="AK17" s="106"/>
      <c r="AL17" s="106"/>
      <c r="AM17" s="106"/>
      <c r="AN17" s="204"/>
      <c r="AO17" s="103"/>
      <c r="AP17" s="97"/>
      <c r="AQ17" s="97" t="s">
        <v>163</v>
      </c>
      <c r="AR17" s="97">
        <v>20</v>
      </c>
      <c r="AS17" s="98">
        <v>4.0999999999999996</v>
      </c>
      <c r="AT17" s="98">
        <v>2.2999999999999998</v>
      </c>
      <c r="AU17" s="98">
        <v>13.2</v>
      </c>
      <c r="AV17" s="98">
        <v>94</v>
      </c>
      <c r="AW17" s="98"/>
      <c r="AX17" s="204"/>
      <c r="AY17" s="103"/>
      <c r="AZ17" s="97"/>
      <c r="BA17" s="97" t="s">
        <v>163</v>
      </c>
      <c r="BB17" s="97">
        <v>20</v>
      </c>
      <c r="BC17" s="98">
        <v>4.0999999999999996</v>
      </c>
      <c r="BD17" s="98">
        <v>2.2999999999999998</v>
      </c>
      <c r="BE17" s="98">
        <v>13.2</v>
      </c>
      <c r="BF17" s="119">
        <v>94</v>
      </c>
      <c r="BG17" s="98"/>
      <c r="BH17" s="214"/>
      <c r="BI17" s="102"/>
      <c r="BJ17" s="154"/>
      <c r="BK17" s="97" t="s">
        <v>163</v>
      </c>
      <c r="BL17" s="97">
        <v>20</v>
      </c>
      <c r="BM17" s="98">
        <v>4.0999999999999996</v>
      </c>
      <c r="BN17" s="98">
        <v>2.2999999999999998</v>
      </c>
      <c r="BO17" s="98">
        <v>13.2</v>
      </c>
      <c r="BP17" s="98">
        <v>94</v>
      </c>
      <c r="BQ17" s="98"/>
      <c r="BR17" s="214"/>
      <c r="BS17" s="103"/>
      <c r="BT17" s="97"/>
      <c r="BU17" s="97" t="s">
        <v>163</v>
      </c>
      <c r="BV17" s="97">
        <v>20</v>
      </c>
      <c r="BW17" s="98">
        <v>4.0999999999999996</v>
      </c>
      <c r="BX17" s="98">
        <v>2.2999999999999998</v>
      </c>
      <c r="BY17" s="98">
        <v>13.2</v>
      </c>
      <c r="BZ17" s="98">
        <v>94</v>
      </c>
      <c r="CA17" s="98"/>
      <c r="CB17" s="214"/>
      <c r="CC17" s="103"/>
      <c r="CD17" s="97"/>
      <c r="CE17" s="97" t="s">
        <v>163</v>
      </c>
      <c r="CF17" s="97">
        <v>20</v>
      </c>
      <c r="CG17" s="98">
        <v>0.2</v>
      </c>
      <c r="CH17" s="98">
        <v>0</v>
      </c>
      <c r="CI17" s="187">
        <v>16.3</v>
      </c>
      <c r="CJ17" s="188">
        <v>62</v>
      </c>
      <c r="CK17" s="98"/>
      <c r="CL17" s="214"/>
      <c r="CM17" s="117"/>
      <c r="CN17" s="97"/>
      <c r="CO17" s="97"/>
      <c r="CP17" s="97"/>
      <c r="CQ17" s="98"/>
      <c r="CR17" s="98"/>
      <c r="CS17" s="98"/>
      <c r="CT17" s="119"/>
      <c r="CU17" s="98"/>
      <c r="CV17" s="204"/>
    </row>
    <row r="18" spans="1:162" x14ac:dyDescent="0.35">
      <c r="J18" s="204"/>
      <c r="K18" s="117"/>
      <c r="M18" s="117"/>
      <c r="N18" s="117"/>
      <c r="O18" s="117"/>
      <c r="P18" s="117"/>
      <c r="Q18" s="118"/>
      <c r="R18" s="118"/>
      <c r="S18" s="117"/>
      <c r="T18" s="204"/>
      <c r="U18" s="103"/>
      <c r="W18" s="103"/>
      <c r="X18" s="103"/>
      <c r="Y18" s="103"/>
      <c r="Z18" s="103"/>
      <c r="AA18" s="110"/>
      <c r="AB18" s="110"/>
      <c r="AC18" s="103"/>
      <c r="AD18" s="204"/>
      <c r="AE18" s="103"/>
      <c r="AN18" s="204"/>
      <c r="AO18" s="103"/>
      <c r="AQ18" s="103"/>
      <c r="AR18" s="103"/>
      <c r="AS18" s="103"/>
      <c r="AT18" s="103"/>
      <c r="AU18" s="110"/>
      <c r="AV18" s="110"/>
      <c r="AW18" s="103"/>
      <c r="AX18" s="204"/>
      <c r="AY18" s="103"/>
      <c r="BA18" s="103"/>
      <c r="BB18" s="103"/>
      <c r="BC18" s="103"/>
      <c r="BD18" s="103"/>
      <c r="BE18" s="103"/>
      <c r="BF18" s="103"/>
      <c r="BG18" s="103"/>
      <c r="BH18" s="214"/>
      <c r="BI18" s="103"/>
      <c r="BR18" s="214"/>
      <c r="BS18" s="103"/>
      <c r="CB18" s="214"/>
      <c r="CC18" s="103"/>
      <c r="CL18" s="214"/>
      <c r="CM18" s="117"/>
      <c r="CO18" s="117"/>
      <c r="CP18" s="117"/>
      <c r="CQ18" s="117"/>
      <c r="CR18" s="117"/>
      <c r="CS18" s="118"/>
      <c r="CT18" s="118"/>
      <c r="CU18" s="117"/>
      <c r="CV18" s="204"/>
    </row>
    <row r="19" spans="1:162" s="103" customFormat="1" x14ac:dyDescent="0.35">
      <c r="A19" s="115" t="s">
        <v>33</v>
      </c>
      <c r="B19" s="115"/>
      <c r="C19" s="115"/>
      <c r="D19" s="115"/>
      <c r="E19" s="115">
        <f>SUM(E16:E17)</f>
        <v>4.6999999999999993</v>
      </c>
      <c r="F19" s="115">
        <f>SUM(F16:F17)</f>
        <v>2.5</v>
      </c>
      <c r="G19" s="116">
        <f>SUM(G16:G17)</f>
        <v>43.599999999999994</v>
      </c>
      <c r="H19" s="116">
        <f>SUM(H16:H17)</f>
        <v>219.8</v>
      </c>
      <c r="I19" s="115">
        <f>SUM(I16:I17)</f>
        <v>8</v>
      </c>
      <c r="J19" s="204"/>
      <c r="K19" s="115" t="s">
        <v>33</v>
      </c>
      <c r="L19" s="115"/>
      <c r="M19" s="115"/>
      <c r="N19" s="115"/>
      <c r="O19" s="115">
        <f>SUM(O16:O17)</f>
        <v>5.22</v>
      </c>
      <c r="P19" s="115">
        <f>SUM(P16:P17)</f>
        <v>4.5</v>
      </c>
      <c r="Q19" s="116">
        <f>SUM(Q16:Q17)</f>
        <v>7.56</v>
      </c>
      <c r="R19" s="116">
        <f>SUM(R16:R17)</f>
        <v>91.61999999999999</v>
      </c>
      <c r="S19" s="115">
        <f>SUM(S16:S17)</f>
        <v>0.54</v>
      </c>
      <c r="T19" s="204"/>
      <c r="U19" s="115" t="s">
        <v>33</v>
      </c>
      <c r="V19" s="115"/>
      <c r="W19" s="115"/>
      <c r="X19" s="115"/>
      <c r="Y19" s="115">
        <f>SUM(Y16:Y17)</f>
        <v>9.32</v>
      </c>
      <c r="Z19" s="115">
        <f>SUM(Z16:Z17)</f>
        <v>6.8</v>
      </c>
      <c r="AA19" s="116">
        <f>SUM(AA16:AA17)</f>
        <v>20.759999999999998</v>
      </c>
      <c r="AB19" s="116">
        <f>SUM(AB16:AB17)</f>
        <v>185.62</v>
      </c>
      <c r="AC19" s="115">
        <f>SUM(AC16:AC17)</f>
        <v>0.54</v>
      </c>
      <c r="AD19" s="204"/>
      <c r="AE19" s="115" t="s">
        <v>33</v>
      </c>
      <c r="AF19" s="115"/>
      <c r="AG19" s="115"/>
      <c r="AH19" s="115"/>
      <c r="AI19" s="121">
        <f>SUM(AI16:AI17)</f>
        <v>0.78</v>
      </c>
      <c r="AJ19" s="115">
        <f>SUM(AJ16:AJ17)</f>
        <v>0</v>
      </c>
      <c r="AK19" s="116">
        <f>SUM(AK16:AK17)</f>
        <v>12.6</v>
      </c>
      <c r="AL19" s="116">
        <f>SUM(AL16:AL17)</f>
        <v>52.2</v>
      </c>
      <c r="AM19" s="115">
        <f>SUM(AM16:AM17)</f>
        <v>170</v>
      </c>
      <c r="AN19" s="204"/>
      <c r="AO19" s="115" t="s">
        <v>33</v>
      </c>
      <c r="AP19" s="115"/>
      <c r="AQ19" s="115"/>
      <c r="AR19" s="115"/>
      <c r="AS19" s="121">
        <f>SUM(AS16:AS18)</f>
        <v>4.88</v>
      </c>
      <c r="AT19" s="115">
        <f>SUM(AT16:AT18)</f>
        <v>2.2999999999999998</v>
      </c>
      <c r="AU19" s="116">
        <f>SUM(AU16:AU18)</f>
        <v>25.799999999999997</v>
      </c>
      <c r="AV19" s="116">
        <f>SUM(AV16:AV18)</f>
        <v>146.19999999999999</v>
      </c>
      <c r="AW19" s="115">
        <f>SUM(AW16:AW17)</f>
        <v>170</v>
      </c>
      <c r="AX19" s="204"/>
      <c r="AY19" s="115" t="s">
        <v>33</v>
      </c>
      <c r="AZ19" s="115"/>
      <c r="BA19" s="115"/>
      <c r="BB19" s="115"/>
      <c r="BC19" s="121">
        <f>SUM(BC16:BC17)</f>
        <v>4.6999999999999993</v>
      </c>
      <c r="BD19" s="115">
        <f>SUM(BD16:BD17)</f>
        <v>2.5</v>
      </c>
      <c r="BE19" s="116">
        <f>SUM(BE16:BE17)</f>
        <v>43.599999999999994</v>
      </c>
      <c r="BF19" s="116">
        <f>SUM(BF16:BF17)</f>
        <v>219.8</v>
      </c>
      <c r="BG19" s="115"/>
      <c r="BH19" s="214"/>
      <c r="BI19" s="115" t="s">
        <v>33</v>
      </c>
      <c r="BJ19" s="115"/>
      <c r="BK19" s="115"/>
      <c r="BL19" s="115"/>
      <c r="BM19" s="121">
        <f>SUM(BM16:BM17)</f>
        <v>4.88</v>
      </c>
      <c r="BN19" s="115">
        <f>SUM(BN16:BN17)</f>
        <v>2.2999999999999998</v>
      </c>
      <c r="BO19" s="116">
        <f>SUM(BO16:BO17)</f>
        <v>25.799999999999997</v>
      </c>
      <c r="BP19" s="116">
        <f>SUM(BP16:BP17)</f>
        <v>146.19999999999999</v>
      </c>
      <c r="BQ19" s="115">
        <f>SUM(BQ14:BQ17)</f>
        <v>0</v>
      </c>
      <c r="BR19" s="214"/>
      <c r="BS19" s="115" t="s">
        <v>33</v>
      </c>
      <c r="BT19" s="115"/>
      <c r="BU19" s="115"/>
      <c r="BV19" s="115"/>
      <c r="BW19" s="115">
        <f>SUM(BW16:BW17)</f>
        <v>4.6999999999999993</v>
      </c>
      <c r="BX19" s="115">
        <f>SUM(BX16:BX17)</f>
        <v>2.5</v>
      </c>
      <c r="BY19" s="116">
        <f>SUM(BY16:BY17)</f>
        <v>43.599999999999994</v>
      </c>
      <c r="BZ19" s="116">
        <f>SUM(BZ16:BZ17)</f>
        <v>219.8</v>
      </c>
      <c r="CA19" s="115">
        <f>SUM(CA16:CA17)</f>
        <v>8</v>
      </c>
      <c r="CB19" s="214"/>
      <c r="CC19" s="115" t="s">
        <v>33</v>
      </c>
      <c r="CD19" s="115"/>
      <c r="CE19" s="115"/>
      <c r="CF19" s="115"/>
      <c r="CG19" s="115">
        <f>SUM(CG16:CG17)</f>
        <v>0.74</v>
      </c>
      <c r="CH19" s="115">
        <f>SUM(CH16:CH17)</f>
        <v>0.18</v>
      </c>
      <c r="CI19" s="116">
        <f>SUM(CI16:CI17)</f>
        <v>43.66</v>
      </c>
      <c r="CJ19" s="116">
        <f>SUM(CJ16:CJ17)</f>
        <v>175.22</v>
      </c>
      <c r="CK19" s="115">
        <f>SUM(CK16:CK17)</f>
        <v>7.2</v>
      </c>
      <c r="CL19" s="214"/>
      <c r="CM19" s="115" t="s">
        <v>33</v>
      </c>
      <c r="CN19" s="115"/>
      <c r="CO19" s="115"/>
      <c r="CP19" s="115"/>
      <c r="CQ19" s="121">
        <f>SUM(CQ16:CQ17)</f>
        <v>0.54</v>
      </c>
      <c r="CR19" s="121">
        <f>SUM(CR16:CR17)</f>
        <v>0.18</v>
      </c>
      <c r="CS19" s="121">
        <f>SUM(CS16:CS17)</f>
        <v>27.36</v>
      </c>
      <c r="CT19" s="121">
        <f>SUM(CT16:CT17)</f>
        <v>113.22</v>
      </c>
      <c r="CU19" s="121">
        <f>SUM(CU16:CU17)</f>
        <v>7.2</v>
      </c>
      <c r="CV19" s="204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</row>
    <row r="20" spans="1:162" s="103" customFormat="1" x14ac:dyDescent="0.35">
      <c r="A20" s="115" t="s">
        <v>30</v>
      </c>
      <c r="B20" s="115"/>
      <c r="C20" s="115"/>
      <c r="D20" s="115"/>
      <c r="E20" s="116">
        <v>2.7</v>
      </c>
      <c r="F20" s="116">
        <v>3</v>
      </c>
      <c r="G20" s="116">
        <v>13.05</v>
      </c>
      <c r="H20" s="116">
        <v>90</v>
      </c>
      <c r="I20" s="115"/>
      <c r="J20" s="204"/>
      <c r="K20" s="115" t="s">
        <v>30</v>
      </c>
      <c r="L20" s="115"/>
      <c r="M20" s="115"/>
      <c r="N20" s="115"/>
      <c r="O20" s="116">
        <v>2.7</v>
      </c>
      <c r="P20" s="116">
        <v>3</v>
      </c>
      <c r="Q20" s="116">
        <v>13.05</v>
      </c>
      <c r="R20" s="116">
        <v>90</v>
      </c>
      <c r="S20" s="115"/>
      <c r="T20" s="204"/>
      <c r="U20" s="115" t="s">
        <v>30</v>
      </c>
      <c r="V20" s="115"/>
      <c r="W20" s="115"/>
      <c r="X20" s="115"/>
      <c r="Y20" s="116">
        <v>2.7</v>
      </c>
      <c r="Z20" s="116">
        <v>3</v>
      </c>
      <c r="AA20" s="116">
        <v>13.05</v>
      </c>
      <c r="AB20" s="116">
        <v>90</v>
      </c>
      <c r="AC20" s="115"/>
      <c r="AD20" s="204"/>
      <c r="AE20" s="115" t="s">
        <v>30</v>
      </c>
      <c r="AF20" s="115"/>
      <c r="AG20" s="115"/>
      <c r="AH20" s="115"/>
      <c r="AI20" s="116">
        <v>2.7</v>
      </c>
      <c r="AJ20" s="116">
        <v>3</v>
      </c>
      <c r="AK20" s="116">
        <v>13.05</v>
      </c>
      <c r="AL20" s="116">
        <v>90</v>
      </c>
      <c r="AM20" s="115"/>
      <c r="AN20" s="204"/>
      <c r="AO20" s="115" t="s">
        <v>30</v>
      </c>
      <c r="AP20" s="115"/>
      <c r="AQ20" s="115"/>
      <c r="AR20" s="115"/>
      <c r="AS20" s="116">
        <v>2.7</v>
      </c>
      <c r="AT20" s="116">
        <v>3</v>
      </c>
      <c r="AU20" s="116">
        <v>13.05</v>
      </c>
      <c r="AV20" s="116">
        <v>90</v>
      </c>
      <c r="AW20" s="115"/>
      <c r="AX20" s="204"/>
      <c r="AY20" s="115" t="s">
        <v>30</v>
      </c>
      <c r="AZ20" s="115"/>
      <c r="BA20" s="115"/>
      <c r="BB20" s="115"/>
      <c r="BC20" s="116">
        <v>2.7</v>
      </c>
      <c r="BD20" s="116">
        <v>3</v>
      </c>
      <c r="BE20" s="116">
        <v>13.05</v>
      </c>
      <c r="BF20" s="116">
        <v>90</v>
      </c>
      <c r="BG20" s="115"/>
      <c r="BH20" s="214"/>
      <c r="BI20" s="115" t="s">
        <v>30</v>
      </c>
      <c r="BJ20" s="115"/>
      <c r="BK20" s="115"/>
      <c r="BL20" s="115"/>
      <c r="BM20" s="116">
        <v>2.7</v>
      </c>
      <c r="BN20" s="116">
        <v>3</v>
      </c>
      <c r="BO20" s="116">
        <v>13.05</v>
      </c>
      <c r="BP20" s="116">
        <v>90</v>
      </c>
      <c r="BQ20" s="115"/>
      <c r="BR20" s="214"/>
      <c r="BS20" s="115" t="s">
        <v>30</v>
      </c>
      <c r="BT20" s="115"/>
      <c r="BU20" s="115"/>
      <c r="BV20" s="115"/>
      <c r="BW20" s="116">
        <v>2.7</v>
      </c>
      <c r="BX20" s="116">
        <v>3</v>
      </c>
      <c r="BY20" s="116">
        <v>13.05</v>
      </c>
      <c r="BZ20" s="116">
        <v>90</v>
      </c>
      <c r="CA20" s="115"/>
      <c r="CB20" s="214"/>
      <c r="CC20" s="115" t="s">
        <v>30</v>
      </c>
      <c r="CD20" s="115"/>
      <c r="CE20" s="115"/>
      <c r="CF20" s="115"/>
      <c r="CG20" s="116">
        <v>2.7</v>
      </c>
      <c r="CH20" s="116">
        <v>3</v>
      </c>
      <c r="CI20" s="116">
        <v>13.05</v>
      </c>
      <c r="CJ20" s="116">
        <v>90</v>
      </c>
      <c r="CK20" s="115"/>
      <c r="CL20" s="214"/>
      <c r="CM20" s="115" t="s">
        <v>30</v>
      </c>
      <c r="CN20" s="115"/>
      <c r="CO20" s="115"/>
      <c r="CP20" s="115"/>
      <c r="CQ20" s="121">
        <v>2.7</v>
      </c>
      <c r="CR20" s="121">
        <v>3</v>
      </c>
      <c r="CS20" s="121">
        <v>13.05</v>
      </c>
      <c r="CT20" s="121">
        <v>90</v>
      </c>
      <c r="CU20" s="121"/>
      <c r="CV20" s="204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</row>
    <row r="21" spans="1:162" x14ac:dyDescent="0.35">
      <c r="A21" s="81"/>
      <c r="B21" s="102"/>
      <c r="C21" s="81"/>
      <c r="D21" s="81"/>
      <c r="E21" s="81"/>
      <c r="F21" s="81"/>
      <c r="G21" s="120"/>
      <c r="H21" s="120"/>
      <c r="J21" s="204"/>
      <c r="K21" s="122"/>
      <c r="L21" s="102"/>
      <c r="M21" s="122"/>
      <c r="N21" s="122"/>
      <c r="O21" s="122"/>
      <c r="P21" s="122"/>
      <c r="Q21" s="123"/>
      <c r="R21" s="123"/>
      <c r="S21" s="117"/>
      <c r="T21" s="204"/>
      <c r="U21" s="102"/>
      <c r="V21" s="102"/>
      <c r="W21" s="102"/>
      <c r="X21" s="102"/>
      <c r="Y21" s="102"/>
      <c r="Z21" s="102"/>
      <c r="AA21" s="124"/>
      <c r="AB21" s="124"/>
      <c r="AC21" s="103"/>
      <c r="AD21" s="204"/>
      <c r="AE21" s="102"/>
      <c r="AF21" s="102"/>
      <c r="AG21" s="102"/>
      <c r="AH21" s="102"/>
      <c r="AI21" s="102"/>
      <c r="AJ21" s="102"/>
      <c r="AK21" s="124"/>
      <c r="AL21" s="124"/>
      <c r="AM21" s="103"/>
      <c r="AN21" s="204"/>
      <c r="AO21" s="102"/>
      <c r="AP21" s="102"/>
      <c r="AQ21" s="102"/>
      <c r="AR21" s="102"/>
      <c r="AS21" s="102"/>
      <c r="AT21" s="102"/>
      <c r="AU21" s="124"/>
      <c r="AV21" s="124"/>
      <c r="AW21" s="103"/>
      <c r="AX21" s="204"/>
      <c r="AY21" s="102"/>
      <c r="AZ21" s="102"/>
      <c r="BA21" s="102"/>
      <c r="BB21" s="102"/>
      <c r="BC21" s="102"/>
      <c r="BD21" s="102"/>
      <c r="BE21" s="124"/>
      <c r="BF21" s="124"/>
      <c r="BG21" s="103"/>
      <c r="BH21" s="214"/>
      <c r="BI21" s="102"/>
      <c r="BJ21" s="102"/>
      <c r="BK21" s="102"/>
      <c r="BL21" s="102"/>
      <c r="BM21" s="102"/>
      <c r="BN21" s="102"/>
      <c r="BO21" s="124"/>
      <c r="BP21" s="124"/>
      <c r="BQ21" s="103"/>
      <c r="BR21" s="214"/>
      <c r="BS21" s="102"/>
      <c r="BT21" s="102"/>
      <c r="BU21" s="102"/>
      <c r="BV21" s="102"/>
      <c r="BW21" s="102"/>
      <c r="BX21" s="102"/>
      <c r="BY21" s="124"/>
      <c r="BZ21" s="124"/>
      <c r="CA21" s="103"/>
      <c r="CB21" s="214"/>
      <c r="CC21" s="102"/>
      <c r="CD21" s="102"/>
      <c r="CE21" s="102"/>
      <c r="CF21" s="102"/>
      <c r="CG21" s="102"/>
      <c r="CH21" s="102"/>
      <c r="CI21" s="124"/>
      <c r="CJ21" s="124"/>
      <c r="CK21" s="103"/>
      <c r="CL21" s="214"/>
      <c r="CM21" s="122"/>
      <c r="CN21" s="102"/>
      <c r="CO21" s="122"/>
      <c r="CP21" s="122"/>
      <c r="CQ21" s="122"/>
      <c r="CR21" s="122"/>
      <c r="CS21" s="123"/>
      <c r="CT21" s="123"/>
      <c r="CU21" s="117"/>
      <c r="CV21" s="204"/>
    </row>
    <row r="22" spans="1:162" s="92" customFormat="1" x14ac:dyDescent="0.35">
      <c r="A22" s="208" t="s">
        <v>18</v>
      </c>
      <c r="B22" s="209"/>
      <c r="C22" s="209"/>
      <c r="D22" s="209"/>
      <c r="E22" s="209"/>
      <c r="F22" s="209"/>
      <c r="G22" s="209"/>
      <c r="H22" s="209"/>
      <c r="I22" s="210"/>
      <c r="J22" s="204"/>
      <c r="K22" s="205" t="s">
        <v>18</v>
      </c>
      <c r="L22" s="206"/>
      <c r="M22" s="206"/>
      <c r="N22" s="206"/>
      <c r="O22" s="206"/>
      <c r="P22" s="206"/>
      <c r="Q22" s="206"/>
      <c r="R22" s="206"/>
      <c r="S22" s="207"/>
      <c r="T22" s="204"/>
      <c r="U22" s="205" t="s">
        <v>18</v>
      </c>
      <c r="V22" s="206"/>
      <c r="W22" s="206"/>
      <c r="X22" s="206"/>
      <c r="Y22" s="206"/>
      <c r="Z22" s="206"/>
      <c r="AA22" s="206"/>
      <c r="AB22" s="206"/>
      <c r="AC22" s="207"/>
      <c r="AD22" s="204"/>
      <c r="AE22" s="136" t="s">
        <v>18</v>
      </c>
      <c r="AF22" s="151"/>
      <c r="AG22" s="137"/>
      <c r="AH22" s="137"/>
      <c r="AI22" s="137"/>
      <c r="AJ22" s="137"/>
      <c r="AK22" s="137"/>
      <c r="AL22" s="137"/>
      <c r="AM22" s="138"/>
      <c r="AN22" s="204"/>
      <c r="AO22" s="205" t="s">
        <v>18</v>
      </c>
      <c r="AP22" s="206"/>
      <c r="AQ22" s="206"/>
      <c r="AR22" s="206"/>
      <c r="AS22" s="206"/>
      <c r="AT22" s="206"/>
      <c r="AU22" s="206"/>
      <c r="AV22" s="206"/>
      <c r="AW22" s="207"/>
      <c r="AX22" s="204"/>
      <c r="AY22" s="205" t="s">
        <v>18</v>
      </c>
      <c r="AZ22" s="206"/>
      <c r="BA22" s="206"/>
      <c r="BB22" s="206"/>
      <c r="BC22" s="206"/>
      <c r="BD22" s="206"/>
      <c r="BE22" s="206"/>
      <c r="BF22" s="206"/>
      <c r="BG22" s="207"/>
      <c r="BH22" s="214"/>
      <c r="BI22" s="205" t="s">
        <v>18</v>
      </c>
      <c r="BJ22" s="206"/>
      <c r="BK22" s="206"/>
      <c r="BL22" s="206"/>
      <c r="BM22" s="206"/>
      <c r="BN22" s="206"/>
      <c r="BO22" s="206"/>
      <c r="BP22" s="206"/>
      <c r="BQ22" s="207"/>
      <c r="BR22" s="214"/>
      <c r="BS22" s="205" t="s">
        <v>18</v>
      </c>
      <c r="BT22" s="206"/>
      <c r="BU22" s="206"/>
      <c r="BV22" s="206"/>
      <c r="BW22" s="206"/>
      <c r="BX22" s="206"/>
      <c r="BY22" s="206"/>
      <c r="BZ22" s="206"/>
      <c r="CA22" s="207"/>
      <c r="CB22" s="214"/>
      <c r="CC22" s="205" t="s">
        <v>18</v>
      </c>
      <c r="CD22" s="206"/>
      <c r="CE22" s="206"/>
      <c r="CF22" s="206"/>
      <c r="CG22" s="206"/>
      <c r="CH22" s="206"/>
      <c r="CI22" s="206"/>
      <c r="CJ22" s="206"/>
      <c r="CK22" s="207"/>
      <c r="CL22" s="214"/>
      <c r="CM22" s="205" t="s">
        <v>18</v>
      </c>
      <c r="CN22" s="206"/>
      <c r="CO22" s="206"/>
      <c r="CP22" s="206"/>
      <c r="CQ22" s="206"/>
      <c r="CR22" s="206"/>
      <c r="CS22" s="206"/>
      <c r="CT22" s="206"/>
      <c r="CU22" s="207"/>
      <c r="CV22" s="204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</row>
    <row r="23" spans="1:162" x14ac:dyDescent="0.35">
      <c r="B23" s="97"/>
      <c r="C23" s="97" t="s">
        <v>109</v>
      </c>
      <c r="D23" s="97">
        <v>60</v>
      </c>
      <c r="E23" s="100">
        <v>0.5</v>
      </c>
      <c r="F23" s="100">
        <v>2.33</v>
      </c>
      <c r="G23" s="100">
        <v>5.15</v>
      </c>
      <c r="H23" s="100">
        <v>43.5</v>
      </c>
      <c r="I23" s="100"/>
      <c r="J23" s="204"/>
      <c r="K23" s="103"/>
      <c r="L23" s="97">
        <v>35</v>
      </c>
      <c r="M23" s="97" t="s">
        <v>103</v>
      </c>
      <c r="N23" s="97">
        <v>60</v>
      </c>
      <c r="O23" s="100">
        <v>0.66500000000000004</v>
      </c>
      <c r="P23" s="100">
        <v>3.0996000000000001</v>
      </c>
      <c r="Q23" s="100">
        <v>6.8620000000000001</v>
      </c>
      <c r="R23" s="100">
        <f>Q23*4+P23*9+O23*4</f>
        <v>58.004400000000004</v>
      </c>
      <c r="S23" s="100">
        <v>5.58</v>
      </c>
      <c r="T23" s="204"/>
      <c r="U23" s="103"/>
      <c r="V23" s="103">
        <v>36</v>
      </c>
      <c r="W23" s="97" t="s">
        <v>198</v>
      </c>
      <c r="X23" s="97">
        <v>60</v>
      </c>
      <c r="Y23" s="100">
        <v>0.67</v>
      </c>
      <c r="Z23" s="100">
        <v>3.1</v>
      </c>
      <c r="AA23" s="100">
        <v>6.86</v>
      </c>
      <c r="AB23" s="185">
        <v>58</v>
      </c>
      <c r="AC23" s="100">
        <v>5.58</v>
      </c>
      <c r="AD23" s="204"/>
      <c r="AE23" s="103"/>
      <c r="AF23" s="97"/>
      <c r="AG23" s="164" t="s">
        <v>228</v>
      </c>
      <c r="AH23" s="96">
        <v>60</v>
      </c>
      <c r="AI23" s="100">
        <v>0.5</v>
      </c>
      <c r="AJ23" s="100">
        <v>2.33</v>
      </c>
      <c r="AK23" s="100">
        <v>5.15</v>
      </c>
      <c r="AL23" s="100">
        <v>43.5</v>
      </c>
      <c r="AM23" s="100"/>
      <c r="AN23" s="204"/>
      <c r="AO23" s="103"/>
      <c r="AP23" s="97">
        <v>12</v>
      </c>
      <c r="AQ23" s="97" t="s">
        <v>140</v>
      </c>
      <c r="AR23" s="104">
        <v>60</v>
      </c>
      <c r="AS23" s="100">
        <v>1.73</v>
      </c>
      <c r="AT23" s="100">
        <v>3.7</v>
      </c>
      <c r="AU23" s="100">
        <v>4.82</v>
      </c>
      <c r="AV23" s="185">
        <v>59.58</v>
      </c>
      <c r="AW23" s="100">
        <v>5.58</v>
      </c>
      <c r="AX23" s="204"/>
      <c r="AY23" s="103"/>
      <c r="AZ23" s="97" t="s">
        <v>107</v>
      </c>
      <c r="BA23" s="97" t="s">
        <v>108</v>
      </c>
      <c r="BB23" s="97">
        <v>50</v>
      </c>
      <c r="BC23" s="185">
        <v>0.6</v>
      </c>
      <c r="BD23" s="100">
        <v>3.8</v>
      </c>
      <c r="BE23" s="100">
        <v>3.84</v>
      </c>
      <c r="BF23" s="185">
        <v>35.18</v>
      </c>
      <c r="BG23" s="100">
        <v>6.62</v>
      </c>
      <c r="BH23" s="214"/>
      <c r="BI23" s="103"/>
      <c r="BJ23" s="97">
        <v>45</v>
      </c>
      <c r="BK23" s="97" t="s">
        <v>105</v>
      </c>
      <c r="BL23" s="97">
        <v>60</v>
      </c>
      <c r="BM23" s="100">
        <v>0.5</v>
      </c>
      <c r="BN23" s="100">
        <v>2.33</v>
      </c>
      <c r="BO23" s="100">
        <v>5.15</v>
      </c>
      <c r="BP23" s="100">
        <v>43.5</v>
      </c>
      <c r="BQ23" s="100">
        <v>1.58</v>
      </c>
      <c r="BR23" s="214"/>
      <c r="BS23" s="103"/>
      <c r="BT23" s="97">
        <v>45</v>
      </c>
      <c r="BU23" s="97" t="s">
        <v>105</v>
      </c>
      <c r="BV23" s="97">
        <v>60</v>
      </c>
      <c r="BW23" s="100">
        <v>0.5</v>
      </c>
      <c r="BX23" s="100">
        <v>2.33</v>
      </c>
      <c r="BY23" s="100">
        <v>5.15</v>
      </c>
      <c r="BZ23" s="185">
        <v>43.5</v>
      </c>
      <c r="CA23" s="100"/>
      <c r="CB23" s="214"/>
      <c r="CC23" s="103"/>
      <c r="CD23" s="97"/>
      <c r="CE23" s="96" t="s">
        <v>110</v>
      </c>
      <c r="CF23" s="96">
        <v>60</v>
      </c>
      <c r="CG23" s="100">
        <v>0.5</v>
      </c>
      <c r="CH23" s="185">
        <v>2.3199999999999998</v>
      </c>
      <c r="CI23" s="185">
        <v>5.14</v>
      </c>
      <c r="CJ23" s="185">
        <v>43.5</v>
      </c>
      <c r="CK23" s="106"/>
      <c r="CL23" s="214"/>
      <c r="CM23" s="103"/>
      <c r="CN23" s="97">
        <v>34</v>
      </c>
      <c r="CO23" s="96" t="s">
        <v>102</v>
      </c>
      <c r="CP23" s="96">
        <v>60</v>
      </c>
      <c r="CQ23" s="106">
        <f>16.67*60/1000</f>
        <v>1.0002</v>
      </c>
      <c r="CR23" s="106">
        <f>41.78*60/1000</f>
        <v>2.5068000000000001</v>
      </c>
      <c r="CS23" s="106">
        <f>81.99*60/1000</f>
        <v>4.9193999999999996</v>
      </c>
      <c r="CT23" s="100">
        <f>CS23*4+CR23*9+CQ23*4</f>
        <v>46.239599999999996</v>
      </c>
      <c r="CU23" s="106">
        <f>98*60/1000</f>
        <v>5.88</v>
      </c>
      <c r="CV23" s="204"/>
    </row>
    <row r="24" spans="1:162" x14ac:dyDescent="0.35">
      <c r="B24" s="97">
        <v>82</v>
      </c>
      <c r="C24" s="97" t="s">
        <v>111</v>
      </c>
      <c r="D24" s="97">
        <v>200</v>
      </c>
      <c r="E24" s="100">
        <v>2.2799999999999998</v>
      </c>
      <c r="F24" s="100">
        <v>2.46</v>
      </c>
      <c r="G24" s="100">
        <v>13.46</v>
      </c>
      <c r="H24" s="100">
        <v>85.2</v>
      </c>
      <c r="I24" s="100">
        <v>6.6</v>
      </c>
      <c r="J24" s="204"/>
      <c r="K24" s="103"/>
      <c r="L24" s="97">
        <v>76</v>
      </c>
      <c r="M24" s="97" t="s">
        <v>172</v>
      </c>
      <c r="N24" s="97">
        <v>200</v>
      </c>
      <c r="O24" s="100">
        <v>1.68</v>
      </c>
      <c r="P24" s="100">
        <v>4.09</v>
      </c>
      <c r="Q24" s="100">
        <v>13.27</v>
      </c>
      <c r="R24" s="185">
        <v>97</v>
      </c>
      <c r="S24" s="100">
        <v>6.03</v>
      </c>
      <c r="T24" s="204"/>
      <c r="U24" s="103"/>
      <c r="V24" s="97">
        <v>71</v>
      </c>
      <c r="W24" s="97" t="s">
        <v>112</v>
      </c>
      <c r="X24" s="97">
        <v>200</v>
      </c>
      <c r="Y24" s="100">
        <v>1.29</v>
      </c>
      <c r="Z24" s="100">
        <v>3.8</v>
      </c>
      <c r="AA24" s="100">
        <v>5.3</v>
      </c>
      <c r="AB24" s="185">
        <v>61.8</v>
      </c>
      <c r="AC24" s="185">
        <v>10.6</v>
      </c>
      <c r="AD24" s="204"/>
      <c r="AE24" s="103"/>
      <c r="AF24" s="97" t="s">
        <v>130</v>
      </c>
      <c r="AG24" s="97" t="s">
        <v>129</v>
      </c>
      <c r="AH24" s="97">
        <v>200</v>
      </c>
      <c r="AI24" s="100">
        <v>3.8</v>
      </c>
      <c r="AJ24" s="100">
        <v>4.8</v>
      </c>
      <c r="AK24" s="100">
        <v>18.8</v>
      </c>
      <c r="AL24" s="100">
        <f>AK24*4+AJ24*9+AI24*4</f>
        <v>133.6</v>
      </c>
      <c r="AM24" s="98"/>
      <c r="AN24" s="204"/>
      <c r="AO24" s="103"/>
      <c r="AP24" s="97">
        <v>57</v>
      </c>
      <c r="AQ24" s="97" t="s">
        <v>113</v>
      </c>
      <c r="AR24" s="109">
        <v>200</v>
      </c>
      <c r="AS24" s="100">
        <v>1.38</v>
      </c>
      <c r="AT24" s="100">
        <v>3.92</v>
      </c>
      <c r="AU24" s="100">
        <v>9.76</v>
      </c>
      <c r="AV24" s="185">
        <v>79.900000000000006</v>
      </c>
      <c r="AW24" s="100">
        <v>6.43</v>
      </c>
      <c r="AX24" s="204"/>
      <c r="AY24" s="103"/>
      <c r="AZ24" s="97">
        <v>81</v>
      </c>
      <c r="BA24" s="97" t="s">
        <v>149</v>
      </c>
      <c r="BB24" s="97">
        <v>200</v>
      </c>
      <c r="BC24" s="100">
        <v>4.3899999999999997</v>
      </c>
      <c r="BD24" s="100">
        <v>4.22</v>
      </c>
      <c r="BE24" s="100">
        <v>13.055999999999999</v>
      </c>
      <c r="BF24" s="185">
        <v>107.8</v>
      </c>
      <c r="BG24" s="100">
        <v>4.6500000000000004</v>
      </c>
      <c r="BH24" s="214"/>
      <c r="BI24" s="103"/>
      <c r="BJ24" s="104">
        <v>84</v>
      </c>
      <c r="BK24" s="97" t="s">
        <v>159</v>
      </c>
      <c r="BL24" s="104">
        <v>200</v>
      </c>
      <c r="BM24" s="100">
        <v>5</v>
      </c>
      <c r="BN24" s="100">
        <v>2.9</v>
      </c>
      <c r="BO24" s="100">
        <v>10.7</v>
      </c>
      <c r="BP24" s="185">
        <v>98.8</v>
      </c>
      <c r="BQ24" s="100">
        <v>9.84</v>
      </c>
      <c r="BR24" s="214"/>
      <c r="BS24" s="103"/>
      <c r="BT24" s="97">
        <v>80</v>
      </c>
      <c r="BU24" s="97" t="s">
        <v>114</v>
      </c>
      <c r="BV24" s="97">
        <v>200</v>
      </c>
      <c r="BW24" s="100">
        <v>2.08</v>
      </c>
      <c r="BX24" s="100">
        <v>2.23</v>
      </c>
      <c r="BY24" s="100">
        <v>13.6</v>
      </c>
      <c r="BZ24" s="185">
        <v>82.82</v>
      </c>
      <c r="CA24" s="100">
        <v>6.6</v>
      </c>
      <c r="CB24" s="214"/>
      <c r="CC24" s="103"/>
      <c r="CD24" s="97">
        <v>57</v>
      </c>
      <c r="CE24" s="97" t="s">
        <v>225</v>
      </c>
      <c r="CF24" s="97">
        <v>200</v>
      </c>
      <c r="CG24" s="100">
        <v>1.38</v>
      </c>
      <c r="CH24" s="100">
        <v>3.92</v>
      </c>
      <c r="CI24" s="100">
        <v>9.76</v>
      </c>
      <c r="CJ24" s="100">
        <v>79.900000000000006</v>
      </c>
      <c r="CK24" s="100">
        <v>6.43</v>
      </c>
      <c r="CL24" s="214"/>
      <c r="CM24" s="103"/>
      <c r="CN24" s="97">
        <v>85</v>
      </c>
      <c r="CO24" s="97" t="s">
        <v>186</v>
      </c>
      <c r="CP24" s="97">
        <v>180</v>
      </c>
      <c r="CQ24" s="100">
        <v>1.48</v>
      </c>
      <c r="CR24" s="100">
        <v>2.23</v>
      </c>
      <c r="CS24" s="100">
        <v>9.06</v>
      </c>
      <c r="CT24" s="100">
        <v>62.24</v>
      </c>
      <c r="CU24" s="100">
        <v>4.1399999999999997</v>
      </c>
      <c r="CV24" s="204"/>
    </row>
    <row r="25" spans="1:162" x14ac:dyDescent="0.35">
      <c r="B25" s="97">
        <v>274</v>
      </c>
      <c r="C25" s="97" t="s">
        <v>115</v>
      </c>
      <c r="D25" s="193">
        <v>220</v>
      </c>
      <c r="E25" s="106">
        <v>21.71</v>
      </c>
      <c r="F25" s="106">
        <v>16.55</v>
      </c>
      <c r="G25" s="106">
        <v>15.02</v>
      </c>
      <c r="H25" s="100">
        <f t="shared" ref="H25:H28" si="21">G25*4+F25*9+E25*4</f>
        <v>295.87</v>
      </c>
      <c r="I25" s="106">
        <v>5.2</v>
      </c>
      <c r="J25" s="204"/>
      <c r="K25" s="103"/>
      <c r="L25" s="97">
        <v>300</v>
      </c>
      <c r="M25" s="97" t="s">
        <v>133</v>
      </c>
      <c r="N25" s="97">
        <v>90</v>
      </c>
      <c r="O25" s="100">
        <v>18.989999999999998</v>
      </c>
      <c r="P25" s="100">
        <v>12.24</v>
      </c>
      <c r="Q25" s="100"/>
      <c r="R25" s="100">
        <f t="shared" ref="R25:R29" si="22">Q25*4+P25*9+O25*4</f>
        <v>186.12</v>
      </c>
      <c r="S25" s="100"/>
      <c r="T25" s="204"/>
      <c r="U25" s="103"/>
      <c r="V25" s="97"/>
      <c r="W25" s="97" t="s">
        <v>180</v>
      </c>
      <c r="X25" s="97">
        <v>120</v>
      </c>
      <c r="Y25" s="98">
        <v>17.989999999999998</v>
      </c>
      <c r="Z25" s="98">
        <v>14.48</v>
      </c>
      <c r="AA25" s="98">
        <v>4.62</v>
      </c>
      <c r="AB25" s="100">
        <v>220.8</v>
      </c>
      <c r="AC25" s="98">
        <v>0.7</v>
      </c>
      <c r="AD25" s="204"/>
      <c r="AE25" s="103"/>
      <c r="AF25" s="97">
        <v>279</v>
      </c>
      <c r="AG25" s="97" t="s">
        <v>127</v>
      </c>
      <c r="AH25" s="97">
        <v>80</v>
      </c>
      <c r="AI25" s="100">
        <f>15.56*80/100</f>
        <v>12.448</v>
      </c>
      <c r="AJ25" s="100">
        <v>11.39</v>
      </c>
      <c r="AK25" s="100">
        <v>16.7</v>
      </c>
      <c r="AL25" s="100">
        <f t="shared" ref="AL25" si="23">AK25*4+AJ25*9+AI25*4</f>
        <v>219.102</v>
      </c>
      <c r="AM25" s="100"/>
      <c r="AN25" s="204"/>
      <c r="AO25" s="103"/>
      <c r="AP25" s="97"/>
      <c r="AQ25" s="97" t="s">
        <v>118</v>
      </c>
      <c r="AR25" s="109">
        <v>80</v>
      </c>
      <c r="AS25" s="100">
        <v>12.44</v>
      </c>
      <c r="AT25" s="100">
        <v>9.24</v>
      </c>
      <c r="AU25" s="100">
        <v>12.56</v>
      </c>
      <c r="AV25" s="100">
        <f t="shared" ref="AV25:AV28" si="24">AU25*4+AT25*9+AS25*4</f>
        <v>183.16</v>
      </c>
      <c r="AW25" s="100">
        <v>0.12</v>
      </c>
      <c r="AX25" s="204"/>
      <c r="AY25" s="103"/>
      <c r="AZ25" s="97"/>
      <c r="BA25" s="97" t="s">
        <v>121</v>
      </c>
      <c r="BB25" s="97">
        <v>80</v>
      </c>
      <c r="BC25" s="98">
        <v>13.23</v>
      </c>
      <c r="BD25" s="98">
        <v>6.65</v>
      </c>
      <c r="BE25" s="98">
        <v>6.88</v>
      </c>
      <c r="BF25" s="100">
        <f t="shared" ref="BF25:BF28" si="25">BE25*4+BD25*9+BC25*4</f>
        <v>140.29000000000002</v>
      </c>
      <c r="BG25" s="98"/>
      <c r="BH25" s="214"/>
      <c r="BI25" s="103"/>
      <c r="BJ25" s="97"/>
      <c r="BK25" s="97" t="s">
        <v>122</v>
      </c>
      <c r="BL25" s="97">
        <v>80</v>
      </c>
      <c r="BM25" s="100">
        <v>11.46</v>
      </c>
      <c r="BN25" s="100">
        <v>4.3899999999999997</v>
      </c>
      <c r="BO25" s="100">
        <v>0.13</v>
      </c>
      <c r="BP25" s="100">
        <f t="shared" ref="BP25:BP29" si="26">BO25*4+BN25*9+BM25*4</f>
        <v>85.87</v>
      </c>
      <c r="BQ25" s="100"/>
      <c r="BR25" s="214"/>
      <c r="BS25" s="103"/>
      <c r="BT25" s="97"/>
      <c r="BU25" s="97" t="s">
        <v>117</v>
      </c>
      <c r="BV25" s="97">
        <v>80</v>
      </c>
      <c r="BW25" s="100">
        <v>10.95</v>
      </c>
      <c r="BX25" s="100">
        <v>3.7</v>
      </c>
      <c r="BY25" s="100">
        <v>8.69</v>
      </c>
      <c r="BZ25" s="100">
        <f t="shared" ref="BZ25" si="27">BY25*4+BX25*9+BW25*4</f>
        <v>111.86</v>
      </c>
      <c r="CA25" s="100">
        <v>3.02</v>
      </c>
      <c r="CB25" s="214"/>
      <c r="CC25" s="103"/>
      <c r="CD25" s="97"/>
      <c r="CE25" s="97" t="s">
        <v>116</v>
      </c>
      <c r="CF25" s="97">
        <v>80</v>
      </c>
      <c r="CG25" s="100">
        <f>8.45*80/60</f>
        <v>11.266666666666667</v>
      </c>
      <c r="CH25" s="100">
        <f>8.88*80/60</f>
        <v>11.840000000000002</v>
      </c>
      <c r="CI25" s="100">
        <f>5.3*80/60</f>
        <v>7.0666666666666664</v>
      </c>
      <c r="CJ25" s="100">
        <f t="shared" ref="CJ25" si="28">CI25*4+CH25*9+CG25*4</f>
        <v>179.89333333333335</v>
      </c>
      <c r="CK25" s="100">
        <f>0.24*80/60</f>
        <v>0.32</v>
      </c>
      <c r="CL25" s="214"/>
      <c r="CM25" s="103"/>
      <c r="CN25" s="97"/>
      <c r="CO25" s="97" t="s">
        <v>128</v>
      </c>
      <c r="CP25" s="97">
        <v>160</v>
      </c>
      <c r="CQ25" s="100">
        <v>14.12</v>
      </c>
      <c r="CR25" s="100">
        <v>9.0399999999999991</v>
      </c>
      <c r="CS25" s="100">
        <v>20.260000000000002</v>
      </c>
      <c r="CT25" s="100">
        <f t="shared" ref="CT25:CT28" si="29">CS25*4+CR25*9+CQ25*4</f>
        <v>218.87999999999997</v>
      </c>
      <c r="CU25" s="100">
        <v>20.03</v>
      </c>
      <c r="CV25" s="204"/>
    </row>
    <row r="26" spans="1:162" x14ac:dyDescent="0.35">
      <c r="B26" s="97">
        <v>379</v>
      </c>
      <c r="C26" s="97" t="s">
        <v>241</v>
      </c>
      <c r="D26" s="97">
        <v>180</v>
      </c>
      <c r="E26" s="106">
        <v>0.20799999999999999</v>
      </c>
      <c r="F26" s="106">
        <v>1.0800000000000001E-2</v>
      </c>
      <c r="G26" s="106">
        <v>31.74</v>
      </c>
      <c r="H26" s="100">
        <f t="shared" si="21"/>
        <v>127.88919999999999</v>
      </c>
      <c r="I26" s="106">
        <v>0.13</v>
      </c>
      <c r="J26" s="204"/>
      <c r="K26" s="103"/>
      <c r="L26" s="97">
        <v>318</v>
      </c>
      <c r="M26" s="97" t="s">
        <v>52</v>
      </c>
      <c r="N26" s="97">
        <v>150</v>
      </c>
      <c r="O26" s="100">
        <v>2.86</v>
      </c>
      <c r="P26" s="100">
        <v>4.32</v>
      </c>
      <c r="Q26" s="100">
        <v>23.01</v>
      </c>
      <c r="R26" s="100">
        <f t="shared" si="22"/>
        <v>142.36000000000001</v>
      </c>
      <c r="S26" s="100">
        <v>21</v>
      </c>
      <c r="T26" s="204"/>
      <c r="U26" s="103"/>
      <c r="V26" s="97">
        <v>313</v>
      </c>
      <c r="W26" s="97" t="s">
        <v>136</v>
      </c>
      <c r="X26" s="97">
        <v>100</v>
      </c>
      <c r="Y26" s="100">
        <v>4.2</v>
      </c>
      <c r="Z26" s="100">
        <v>2.5499999999999998</v>
      </c>
      <c r="AA26" s="185">
        <v>25.9</v>
      </c>
      <c r="AB26" s="100">
        <f t="shared" ref="AB26:AB28" si="30">AA26*4+Z26*9+Y26*4</f>
        <v>143.35</v>
      </c>
      <c r="AC26" s="100"/>
      <c r="AD26" s="204"/>
      <c r="AE26" s="103"/>
      <c r="AF26" s="97" t="s">
        <v>131</v>
      </c>
      <c r="AG26" s="96" t="s">
        <v>132</v>
      </c>
      <c r="AH26" s="96">
        <v>120</v>
      </c>
      <c r="AI26" s="100">
        <v>6.2</v>
      </c>
      <c r="AJ26" s="100">
        <v>8.2799999999999994</v>
      </c>
      <c r="AK26" s="100">
        <v>15.03</v>
      </c>
      <c r="AL26" s="100">
        <f t="shared" ref="AL26" si="31">AK26*4+AJ26*9+AI26*4</f>
        <v>159.44</v>
      </c>
      <c r="AM26" s="98"/>
      <c r="AN26" s="204"/>
      <c r="AO26" s="103"/>
      <c r="AP26" s="97">
        <v>205</v>
      </c>
      <c r="AQ26" s="97" t="s">
        <v>91</v>
      </c>
      <c r="AR26" s="97">
        <v>130</v>
      </c>
      <c r="AS26" s="98">
        <v>4.76</v>
      </c>
      <c r="AT26" s="98">
        <v>3.66</v>
      </c>
      <c r="AU26" s="98">
        <v>22.86</v>
      </c>
      <c r="AV26" s="185">
        <v>143.65</v>
      </c>
      <c r="AW26" s="100"/>
      <c r="AX26" s="204"/>
      <c r="AY26" s="103"/>
      <c r="AZ26" s="97">
        <v>318</v>
      </c>
      <c r="BA26" s="97" t="s">
        <v>52</v>
      </c>
      <c r="BB26" s="97">
        <v>100</v>
      </c>
      <c r="BC26" s="185">
        <v>1.27</v>
      </c>
      <c r="BD26" s="185">
        <v>1.92</v>
      </c>
      <c r="BE26" s="185">
        <v>10.220000000000001</v>
      </c>
      <c r="BF26" s="185">
        <v>63.06</v>
      </c>
      <c r="BG26" s="98"/>
      <c r="BH26" s="214"/>
      <c r="BI26" s="103"/>
      <c r="BJ26" s="97">
        <v>313</v>
      </c>
      <c r="BK26" s="97" t="s">
        <v>136</v>
      </c>
      <c r="BL26" s="97">
        <v>120</v>
      </c>
      <c r="BM26" s="185">
        <v>4.2</v>
      </c>
      <c r="BN26" s="185">
        <v>2.5499999999999998</v>
      </c>
      <c r="BO26" s="185">
        <v>25.9</v>
      </c>
      <c r="BP26" s="100">
        <f t="shared" si="26"/>
        <v>143.35</v>
      </c>
      <c r="BQ26" s="100"/>
      <c r="BR26" s="214"/>
      <c r="BS26" s="103"/>
      <c r="BT26" s="97">
        <v>321</v>
      </c>
      <c r="BU26" s="97" t="s">
        <v>44</v>
      </c>
      <c r="BV26" s="97">
        <v>130</v>
      </c>
      <c r="BW26" s="100">
        <v>2.65</v>
      </c>
      <c r="BX26" s="100">
        <v>4.16</v>
      </c>
      <c r="BY26" s="100">
        <v>17.7</v>
      </c>
      <c r="BZ26" s="185">
        <v>118.92</v>
      </c>
      <c r="CA26" s="100">
        <v>15.74</v>
      </c>
      <c r="CB26" s="214"/>
      <c r="CC26" s="103"/>
      <c r="CD26" s="97">
        <v>322</v>
      </c>
      <c r="CE26" s="97" t="s">
        <v>153</v>
      </c>
      <c r="CF26" s="97">
        <v>130</v>
      </c>
      <c r="CG26" s="185">
        <v>3.22</v>
      </c>
      <c r="CH26" s="185">
        <v>5.2</v>
      </c>
      <c r="CI26" s="185">
        <v>20.29</v>
      </c>
      <c r="CJ26" s="185">
        <v>140.96</v>
      </c>
      <c r="CK26" s="185">
        <v>17.75</v>
      </c>
      <c r="CL26" s="214"/>
      <c r="CM26" s="103"/>
      <c r="CN26" s="97">
        <v>355</v>
      </c>
      <c r="CO26" s="97" t="s">
        <v>143</v>
      </c>
      <c r="CP26" s="97">
        <v>30</v>
      </c>
      <c r="CQ26" s="100">
        <f>17.62*30/1000</f>
        <v>0.52860000000000007</v>
      </c>
      <c r="CR26" s="100">
        <f>49.96*30/1000</f>
        <v>1.4987999999999999</v>
      </c>
      <c r="CS26" s="100">
        <f>70.24*30/1000</f>
        <v>2.1071999999999997</v>
      </c>
      <c r="CT26" s="100">
        <f t="shared" si="29"/>
        <v>24.032399999999999</v>
      </c>
      <c r="CU26" s="100">
        <f>13.38*30/1000</f>
        <v>0.40140000000000003</v>
      </c>
      <c r="CV26" s="204"/>
    </row>
    <row r="27" spans="1:162" x14ac:dyDescent="0.35">
      <c r="B27" s="97"/>
      <c r="C27" s="191" t="s">
        <v>240</v>
      </c>
      <c r="D27" s="191">
        <v>25</v>
      </c>
      <c r="E27" s="191">
        <v>1.65</v>
      </c>
      <c r="F27" s="191">
        <v>0.18</v>
      </c>
      <c r="G27" s="192">
        <v>8.5299999999999994</v>
      </c>
      <c r="H27" s="192">
        <v>41.62</v>
      </c>
      <c r="J27" s="204"/>
      <c r="K27" s="103"/>
      <c r="L27" s="97">
        <v>373</v>
      </c>
      <c r="M27" s="97" t="s">
        <v>158</v>
      </c>
      <c r="N27" s="97">
        <v>180</v>
      </c>
      <c r="O27" s="185">
        <v>0.12</v>
      </c>
      <c r="P27" s="185">
        <v>0.09</v>
      </c>
      <c r="Q27" s="185">
        <v>10.029999999999999</v>
      </c>
      <c r="R27" s="185">
        <v>41.47</v>
      </c>
      <c r="S27" s="187">
        <v>0.65</v>
      </c>
      <c r="T27" s="204"/>
      <c r="U27" s="103"/>
      <c r="V27" s="97">
        <v>382</v>
      </c>
      <c r="W27" s="97" t="s">
        <v>181</v>
      </c>
      <c r="X27" s="97">
        <v>180</v>
      </c>
      <c r="Y27" s="100">
        <f>20.99*180/1000</f>
        <v>3.7782</v>
      </c>
      <c r="Z27" s="185">
        <v>3.41</v>
      </c>
      <c r="AA27" s="185">
        <v>27.36</v>
      </c>
      <c r="AB27" s="185">
        <v>154.26</v>
      </c>
      <c r="AC27" s="100">
        <f>7.19*180/1000</f>
        <v>1.2942</v>
      </c>
      <c r="AD27" s="204"/>
      <c r="AE27" s="103"/>
      <c r="AF27" s="97">
        <v>376</v>
      </c>
      <c r="AG27" s="97" t="s">
        <v>100</v>
      </c>
      <c r="AH27" s="97">
        <v>200</v>
      </c>
      <c r="AI27" s="100">
        <v>0.44</v>
      </c>
      <c r="AJ27" s="100">
        <v>0.02</v>
      </c>
      <c r="AK27" s="100">
        <v>27.77</v>
      </c>
      <c r="AL27" s="100">
        <f>AK27*4+AJ27*9+AI27*4</f>
        <v>113.02000000000001</v>
      </c>
      <c r="AM27" s="100">
        <v>0.4</v>
      </c>
      <c r="AN27" s="204"/>
      <c r="AO27" s="103"/>
      <c r="AP27" s="97">
        <v>372</v>
      </c>
      <c r="AQ27" s="97" t="s">
        <v>158</v>
      </c>
      <c r="AR27" s="109">
        <v>180</v>
      </c>
      <c r="AS27" s="185">
        <v>0.12</v>
      </c>
      <c r="AT27" s="185">
        <v>0.09</v>
      </c>
      <c r="AU27" s="185">
        <v>18.059999999999999</v>
      </c>
      <c r="AV27" s="100">
        <f t="shared" si="24"/>
        <v>73.53</v>
      </c>
      <c r="AW27" s="185">
        <v>0.65</v>
      </c>
      <c r="AX27" s="204"/>
      <c r="AY27" s="103"/>
      <c r="AZ27" s="97">
        <v>376</v>
      </c>
      <c r="BA27" s="97" t="s">
        <v>100</v>
      </c>
      <c r="BB27" s="97">
        <v>200</v>
      </c>
      <c r="BC27" s="100">
        <v>0.44</v>
      </c>
      <c r="BD27" s="100">
        <v>0.22</v>
      </c>
      <c r="BE27" s="100">
        <v>27.77</v>
      </c>
      <c r="BF27" s="185">
        <v>113.02</v>
      </c>
      <c r="BG27" s="100">
        <v>0.4</v>
      </c>
      <c r="BH27" s="214"/>
      <c r="BI27" s="103"/>
      <c r="BJ27" s="97">
        <v>33</v>
      </c>
      <c r="BK27" s="97" t="s">
        <v>100</v>
      </c>
      <c r="BL27" s="97">
        <v>180</v>
      </c>
      <c r="BM27" s="100">
        <v>0.4</v>
      </c>
      <c r="BN27" s="100">
        <v>1.7999999999999999E-2</v>
      </c>
      <c r="BO27" s="100">
        <v>25</v>
      </c>
      <c r="BP27" s="100">
        <f>BO27*4+BN27*9+BM27*4</f>
        <v>101.762</v>
      </c>
      <c r="BQ27" s="100">
        <v>0.36</v>
      </c>
      <c r="BR27" s="214"/>
      <c r="BS27" s="103"/>
      <c r="BT27" s="97">
        <v>384</v>
      </c>
      <c r="BU27" s="97" t="s">
        <v>51</v>
      </c>
      <c r="BV27" s="97">
        <v>180</v>
      </c>
      <c r="BW27" s="100">
        <f>20.99*180/1000</f>
        <v>3.7782</v>
      </c>
      <c r="BX27" s="185">
        <v>3.41</v>
      </c>
      <c r="BY27" s="185">
        <v>27.36</v>
      </c>
      <c r="BZ27" s="185">
        <v>154.26</v>
      </c>
      <c r="CA27" s="100">
        <f>7.19*180/1000</f>
        <v>1.2942</v>
      </c>
      <c r="CB27" s="214"/>
      <c r="CC27" s="103"/>
      <c r="CD27" s="97">
        <v>376</v>
      </c>
      <c r="CE27" s="97" t="s">
        <v>179</v>
      </c>
      <c r="CF27" s="97">
        <v>200</v>
      </c>
      <c r="CG27" s="100">
        <f>2.2*200/1000</f>
        <v>0.44000000000000006</v>
      </c>
      <c r="CH27" s="100">
        <f>0.1*200/1000</f>
        <v>0.02</v>
      </c>
      <c r="CI27" s="100">
        <f>138.84*200/1000</f>
        <v>27.768000000000001</v>
      </c>
      <c r="CJ27" s="100">
        <v>113.02</v>
      </c>
      <c r="CK27" s="100">
        <f>2*200/1000</f>
        <v>0.4</v>
      </c>
      <c r="CL27" s="214"/>
      <c r="CM27" s="103"/>
      <c r="CN27" s="97">
        <v>384</v>
      </c>
      <c r="CO27" s="97" t="s">
        <v>51</v>
      </c>
      <c r="CP27" s="97">
        <v>180</v>
      </c>
      <c r="CQ27" s="100">
        <v>3.78</v>
      </c>
      <c r="CR27" s="185">
        <v>3.41</v>
      </c>
      <c r="CS27" s="185">
        <v>27.36</v>
      </c>
      <c r="CT27" s="185">
        <v>154.26</v>
      </c>
      <c r="CU27" s="100">
        <v>1.29</v>
      </c>
      <c r="CV27" s="204"/>
    </row>
    <row r="28" spans="1:162" x14ac:dyDescent="0.35">
      <c r="C28" s="97" t="s">
        <v>34</v>
      </c>
      <c r="D28" s="109">
        <v>40</v>
      </c>
      <c r="E28" s="185">
        <v>3.16</v>
      </c>
      <c r="F28" s="185">
        <v>0.4</v>
      </c>
      <c r="G28" s="185">
        <v>19.32</v>
      </c>
      <c r="H28" s="100">
        <f t="shared" si="21"/>
        <v>93.52</v>
      </c>
      <c r="I28" s="100"/>
      <c r="J28" s="204"/>
      <c r="K28" s="103"/>
      <c r="L28" s="97"/>
      <c r="M28" s="97" t="s">
        <v>34</v>
      </c>
      <c r="N28" s="97">
        <v>20</v>
      </c>
      <c r="O28" s="100">
        <f>7.9*20/100</f>
        <v>1.58</v>
      </c>
      <c r="P28" s="100">
        <f>1*20/100</f>
        <v>0.2</v>
      </c>
      <c r="Q28" s="100">
        <f>48.3*20/100</f>
        <v>9.66</v>
      </c>
      <c r="R28" s="100">
        <f t="shared" si="22"/>
        <v>46.76</v>
      </c>
      <c r="S28" s="100"/>
      <c r="T28" s="204"/>
      <c r="U28" s="103"/>
      <c r="V28" s="97"/>
      <c r="W28" s="97" t="s">
        <v>34</v>
      </c>
      <c r="X28" s="97">
        <v>40</v>
      </c>
      <c r="Y28" s="93">
        <v>3.16</v>
      </c>
      <c r="Z28" s="93">
        <v>0.4</v>
      </c>
      <c r="AA28" s="94">
        <v>19.32</v>
      </c>
      <c r="AB28" s="100">
        <f t="shared" si="30"/>
        <v>93.52</v>
      </c>
      <c r="AC28" s="100"/>
      <c r="AD28" s="204"/>
      <c r="AE28" s="103"/>
      <c r="AF28" s="97"/>
      <c r="AG28" s="97" t="s">
        <v>160</v>
      </c>
      <c r="AH28" s="109">
        <v>50</v>
      </c>
      <c r="AI28" s="93">
        <v>3.3</v>
      </c>
      <c r="AJ28" s="187">
        <v>0.36</v>
      </c>
      <c r="AK28" s="94">
        <v>16.7</v>
      </c>
      <c r="AL28" s="100">
        <f t="shared" ref="AL28" si="32">AK28*4+AJ28*9+AI28*4</f>
        <v>83.24</v>
      </c>
      <c r="AM28" s="100"/>
      <c r="AN28" s="204"/>
      <c r="AO28" s="103"/>
      <c r="AP28" s="97"/>
      <c r="AQ28" s="97" t="s">
        <v>160</v>
      </c>
      <c r="AR28" s="109">
        <v>50</v>
      </c>
      <c r="AS28" s="93">
        <v>3.3</v>
      </c>
      <c r="AT28" s="187">
        <v>0.36</v>
      </c>
      <c r="AU28" s="94">
        <v>16.7</v>
      </c>
      <c r="AV28" s="100">
        <f t="shared" si="24"/>
        <v>83.24</v>
      </c>
      <c r="AW28" s="100"/>
      <c r="AX28" s="204"/>
      <c r="AY28" s="103"/>
      <c r="AZ28" s="97"/>
      <c r="BA28" s="97" t="s">
        <v>34</v>
      </c>
      <c r="BB28" s="97">
        <v>40</v>
      </c>
      <c r="BC28" s="93">
        <v>3.16</v>
      </c>
      <c r="BD28" s="93">
        <v>0.4</v>
      </c>
      <c r="BE28" s="94">
        <v>19.32</v>
      </c>
      <c r="BF28" s="100">
        <f t="shared" si="25"/>
        <v>93.52</v>
      </c>
      <c r="BG28" s="100"/>
      <c r="BH28" s="214"/>
      <c r="BI28" s="103"/>
      <c r="BJ28" s="97"/>
      <c r="BK28" s="148" t="s">
        <v>160</v>
      </c>
      <c r="BL28" s="96">
        <v>50</v>
      </c>
      <c r="BM28" s="106">
        <v>3.3</v>
      </c>
      <c r="BN28" s="185">
        <v>0.36</v>
      </c>
      <c r="BO28" s="106">
        <v>16.7</v>
      </c>
      <c r="BP28" s="100">
        <f t="shared" si="26"/>
        <v>83.24</v>
      </c>
      <c r="BQ28" s="98"/>
      <c r="BR28" s="214"/>
      <c r="BS28" s="103"/>
      <c r="BT28" s="97"/>
      <c r="BU28" s="148" t="s">
        <v>160</v>
      </c>
      <c r="BV28" s="96">
        <v>50</v>
      </c>
      <c r="BW28" s="106">
        <v>3.3</v>
      </c>
      <c r="BX28" s="106">
        <v>0.36</v>
      </c>
      <c r="BY28" s="106">
        <v>16.7</v>
      </c>
      <c r="BZ28" s="94">
        <v>83.24</v>
      </c>
      <c r="CA28" s="98"/>
      <c r="CB28" s="214"/>
      <c r="CC28" s="103"/>
      <c r="CD28" s="97"/>
      <c r="CE28" s="97" t="s">
        <v>34</v>
      </c>
      <c r="CF28" s="189">
        <v>25</v>
      </c>
      <c r="CG28" s="185">
        <v>1.65</v>
      </c>
      <c r="CH28" s="185">
        <v>0.18</v>
      </c>
      <c r="CI28" s="185">
        <v>8.35</v>
      </c>
      <c r="CJ28" s="185">
        <v>43.5</v>
      </c>
      <c r="CK28" s="106"/>
      <c r="CL28" s="214"/>
      <c r="CM28" s="103"/>
      <c r="CN28" s="97"/>
      <c r="CO28" s="97" t="s">
        <v>34</v>
      </c>
      <c r="CP28" s="97">
        <v>30</v>
      </c>
      <c r="CQ28" s="100">
        <v>2.37</v>
      </c>
      <c r="CR28" s="100">
        <v>0.3</v>
      </c>
      <c r="CS28" s="100">
        <v>14.49</v>
      </c>
      <c r="CT28" s="100">
        <f t="shared" si="29"/>
        <v>70.14</v>
      </c>
      <c r="CU28" s="100"/>
      <c r="CV28" s="204"/>
    </row>
    <row r="29" spans="1:162" x14ac:dyDescent="0.35">
      <c r="E29" s="125"/>
      <c r="F29" s="125"/>
      <c r="G29" s="125"/>
      <c r="H29" s="125"/>
      <c r="I29" s="125"/>
      <c r="J29" s="204"/>
      <c r="K29" s="103"/>
      <c r="M29" s="97" t="s">
        <v>160</v>
      </c>
      <c r="N29" s="109">
        <v>50</v>
      </c>
      <c r="O29" s="93">
        <v>3.3</v>
      </c>
      <c r="P29" s="187">
        <v>0.36</v>
      </c>
      <c r="Q29" s="94">
        <v>16.7</v>
      </c>
      <c r="R29" s="100">
        <f t="shared" si="22"/>
        <v>83.24</v>
      </c>
      <c r="S29" s="100"/>
      <c r="T29" s="204"/>
      <c r="U29" s="103"/>
      <c r="AD29" s="204"/>
      <c r="AE29" s="103"/>
      <c r="AG29" s="97"/>
      <c r="AH29" s="97"/>
      <c r="AI29" s="106"/>
      <c r="AJ29" s="106"/>
      <c r="AK29" s="106"/>
      <c r="AL29" s="106"/>
      <c r="AM29" s="100"/>
      <c r="AN29" s="204"/>
      <c r="AO29" s="103"/>
      <c r="AQ29" s="103"/>
      <c r="AR29" s="103"/>
      <c r="AS29" s="111"/>
      <c r="AT29" s="111"/>
      <c r="AU29" s="111"/>
      <c r="AV29" s="111"/>
      <c r="AW29" s="111"/>
      <c r="AX29" s="204"/>
      <c r="AY29" s="103"/>
      <c r="BA29" s="97" t="s">
        <v>160</v>
      </c>
      <c r="BB29" s="97">
        <v>25</v>
      </c>
      <c r="BC29" s="100">
        <v>1.65</v>
      </c>
      <c r="BD29" s="100">
        <v>0.18</v>
      </c>
      <c r="BE29" s="100">
        <v>8.5299999999999994</v>
      </c>
      <c r="BF29" s="185">
        <v>41.62</v>
      </c>
      <c r="BG29" s="100"/>
      <c r="BH29" s="214"/>
      <c r="BI29" s="103"/>
      <c r="BK29" s="97" t="s">
        <v>34</v>
      </c>
      <c r="BL29" s="97">
        <v>20</v>
      </c>
      <c r="BM29" s="100">
        <f>7.9*20/100</f>
        <v>1.58</v>
      </c>
      <c r="BN29" s="100">
        <f>1*20/100</f>
        <v>0.2</v>
      </c>
      <c r="BO29" s="100">
        <f>48.3*20/100</f>
        <v>9.66</v>
      </c>
      <c r="BP29" s="100">
        <f t="shared" si="26"/>
        <v>46.76</v>
      </c>
      <c r="BQ29" s="100"/>
      <c r="BR29" s="214"/>
      <c r="BS29" s="103"/>
      <c r="BU29" s="103"/>
      <c r="BV29" s="103"/>
      <c r="BW29" s="111"/>
      <c r="BX29" s="111"/>
      <c r="BY29" s="111"/>
      <c r="BZ29" s="111"/>
      <c r="CA29" s="111"/>
      <c r="CB29" s="214"/>
      <c r="CC29" s="103"/>
      <c r="CD29" s="97"/>
      <c r="CE29" s="97" t="s">
        <v>160</v>
      </c>
      <c r="CF29" s="97">
        <v>30</v>
      </c>
      <c r="CG29" s="185">
        <v>2.37</v>
      </c>
      <c r="CH29" s="185">
        <v>0.3</v>
      </c>
      <c r="CI29" s="185">
        <v>14.49</v>
      </c>
      <c r="CJ29" s="185">
        <v>70.14</v>
      </c>
      <c r="CK29" s="100"/>
      <c r="CL29" s="214"/>
      <c r="CM29" s="117"/>
      <c r="CN29" s="97"/>
      <c r="CO29" s="191" t="s">
        <v>240</v>
      </c>
      <c r="CP29" s="191">
        <v>25</v>
      </c>
      <c r="CQ29" s="191">
        <v>1.65</v>
      </c>
      <c r="CR29" s="191">
        <v>0.18</v>
      </c>
      <c r="CS29" s="192">
        <v>8.5299999999999994</v>
      </c>
      <c r="CT29" s="192">
        <v>41.62</v>
      </c>
      <c r="CV29" s="204"/>
    </row>
    <row r="30" spans="1:162" x14ac:dyDescent="0.35">
      <c r="E30" s="125"/>
      <c r="F30" s="125"/>
      <c r="G30" s="125"/>
      <c r="H30" s="125"/>
      <c r="I30" s="125"/>
      <c r="J30" s="204"/>
      <c r="K30" s="103"/>
      <c r="T30" s="204"/>
      <c r="U30" s="103"/>
      <c r="W30" s="103"/>
      <c r="X30" s="103"/>
      <c r="Y30" s="111"/>
      <c r="Z30" s="111"/>
      <c r="AA30" s="111"/>
      <c r="AB30" s="111"/>
      <c r="AC30" s="111"/>
      <c r="AD30" s="204"/>
      <c r="AE30" s="103"/>
      <c r="AG30" s="103"/>
      <c r="AH30" s="103"/>
      <c r="AI30" s="111"/>
      <c r="AJ30" s="111"/>
      <c r="AK30" s="111"/>
      <c r="AL30" s="111"/>
      <c r="AM30" s="111"/>
      <c r="AN30" s="204"/>
      <c r="AO30" s="103"/>
      <c r="AQ30" s="103"/>
      <c r="AR30" s="103"/>
      <c r="AS30" s="111"/>
      <c r="AT30" s="111"/>
      <c r="AU30" s="111"/>
      <c r="AV30" s="111"/>
      <c r="AW30" s="111"/>
      <c r="AX30" s="204"/>
      <c r="AY30" s="103"/>
      <c r="BA30" s="103"/>
      <c r="BB30" s="103"/>
      <c r="BC30" s="103"/>
      <c r="BD30" s="103"/>
      <c r="BE30" s="103"/>
      <c r="BF30" s="103"/>
      <c r="BG30" s="103"/>
      <c r="BH30" s="214"/>
      <c r="BI30" s="103"/>
      <c r="BJ30" s="102"/>
      <c r="BK30" s="102"/>
      <c r="BL30" s="102"/>
      <c r="BM30" s="103"/>
      <c r="BN30" s="103"/>
      <c r="BO30" s="103"/>
      <c r="BP30" s="103"/>
      <c r="BQ30" s="103"/>
      <c r="BR30" s="214"/>
      <c r="BS30" s="103"/>
      <c r="BU30" s="103"/>
      <c r="BV30" s="103"/>
      <c r="BW30" s="111"/>
      <c r="BX30" s="111"/>
      <c r="BY30" s="111"/>
      <c r="BZ30" s="111"/>
      <c r="CA30" s="111"/>
      <c r="CB30" s="214"/>
      <c r="CC30" s="103"/>
      <c r="CE30" s="103"/>
      <c r="CF30" s="103"/>
      <c r="CG30" s="103"/>
      <c r="CH30" s="103"/>
      <c r="CI30" s="103"/>
      <c r="CJ30" s="103"/>
      <c r="CK30" s="103"/>
      <c r="CL30" s="214"/>
      <c r="CM30" s="117"/>
      <c r="CO30" s="117"/>
      <c r="CP30" s="117"/>
      <c r="CQ30" s="117"/>
      <c r="CR30" s="117"/>
      <c r="CS30" s="117"/>
      <c r="CT30" s="117"/>
      <c r="CU30" s="117"/>
      <c r="CV30" s="204"/>
    </row>
    <row r="31" spans="1:162" s="113" customFormat="1" x14ac:dyDescent="0.35">
      <c r="A31" s="113" t="s">
        <v>33</v>
      </c>
      <c r="B31" s="115"/>
      <c r="D31" s="113">
        <f t="shared" ref="D31:I31" si="33">SUM(D23:D30)</f>
        <v>725</v>
      </c>
      <c r="E31" s="113">
        <f t="shared" si="33"/>
        <v>29.507999999999999</v>
      </c>
      <c r="F31" s="113">
        <f t="shared" si="33"/>
        <v>21.930799999999998</v>
      </c>
      <c r="G31" s="113">
        <f t="shared" si="33"/>
        <v>93.22</v>
      </c>
      <c r="H31" s="113">
        <f t="shared" si="33"/>
        <v>687.5992</v>
      </c>
      <c r="I31" s="113">
        <f t="shared" si="33"/>
        <v>11.930000000000001</v>
      </c>
      <c r="J31" s="204"/>
      <c r="K31" s="115" t="s">
        <v>33</v>
      </c>
      <c r="L31" s="115"/>
      <c r="M31" s="115"/>
      <c r="N31" s="115">
        <f t="shared" ref="N31:S31" si="34">SUM(N23:N29)</f>
        <v>750</v>
      </c>
      <c r="O31" s="115">
        <f t="shared" si="34"/>
        <v>29.194999999999997</v>
      </c>
      <c r="P31" s="115">
        <f t="shared" si="34"/>
        <v>24.3996</v>
      </c>
      <c r="Q31" s="115">
        <f t="shared" si="34"/>
        <v>79.531999999999996</v>
      </c>
      <c r="R31" s="115">
        <f t="shared" si="34"/>
        <v>654.95440000000008</v>
      </c>
      <c r="S31" s="115">
        <f t="shared" si="34"/>
        <v>33.26</v>
      </c>
      <c r="T31" s="204"/>
      <c r="U31" s="115" t="s">
        <v>33</v>
      </c>
      <c r="V31" s="115"/>
      <c r="W31" s="115"/>
      <c r="X31" s="115">
        <f>SUM(X23:X28)</f>
        <v>700</v>
      </c>
      <c r="Y31" s="121">
        <f>SUM(Y24:Y30)</f>
        <v>30.418199999999995</v>
      </c>
      <c r="Z31" s="121">
        <f>SUM(Z24:Z30)</f>
        <v>24.64</v>
      </c>
      <c r="AA31" s="121">
        <f>SUM(AA24:AA30)</f>
        <v>82.5</v>
      </c>
      <c r="AB31" s="121">
        <f>SUM(AB24:AB30)</f>
        <v>673.73</v>
      </c>
      <c r="AC31" s="121">
        <f>SUM(AC24:AC30)</f>
        <v>12.594199999999999</v>
      </c>
      <c r="AD31" s="204"/>
      <c r="AE31" s="115" t="s">
        <v>33</v>
      </c>
      <c r="AF31" s="115"/>
      <c r="AG31" s="115"/>
      <c r="AH31" s="115">
        <f t="shared" ref="AH31:AM31" si="35">SUM(AH23:AH30)</f>
        <v>710</v>
      </c>
      <c r="AI31" s="115">
        <f t="shared" si="35"/>
        <v>26.688000000000002</v>
      </c>
      <c r="AJ31" s="115">
        <f t="shared" si="35"/>
        <v>27.179999999999996</v>
      </c>
      <c r="AK31" s="115">
        <f t="shared" si="35"/>
        <v>100.15</v>
      </c>
      <c r="AL31" s="115">
        <f t="shared" si="35"/>
        <v>751.90200000000004</v>
      </c>
      <c r="AM31" s="115">
        <f t="shared" si="35"/>
        <v>0.4</v>
      </c>
      <c r="AN31" s="204"/>
      <c r="AO31" s="115" t="s">
        <v>33</v>
      </c>
      <c r="AP31" s="115"/>
      <c r="AQ31" s="115"/>
      <c r="AR31" s="115">
        <f t="shared" ref="AR31:AW31" si="36">SUM(AR23:AR30)</f>
        <v>700</v>
      </c>
      <c r="AS31" s="115">
        <f t="shared" si="36"/>
        <v>23.73</v>
      </c>
      <c r="AT31" s="115">
        <f t="shared" si="36"/>
        <v>20.97</v>
      </c>
      <c r="AU31" s="115">
        <f t="shared" si="36"/>
        <v>84.76</v>
      </c>
      <c r="AV31" s="115">
        <f t="shared" si="36"/>
        <v>623.05999999999995</v>
      </c>
      <c r="AW31" s="115">
        <f t="shared" si="36"/>
        <v>12.78</v>
      </c>
      <c r="AX31" s="204"/>
      <c r="AY31" s="115" t="s">
        <v>33</v>
      </c>
      <c r="AZ31" s="115"/>
      <c r="BA31" s="115"/>
      <c r="BB31" s="121">
        <f>SUM(BB23:BB29)</f>
        <v>695</v>
      </c>
      <c r="BC31" s="121">
        <f t="shared" ref="BC31:BG31" si="37">SUM(BC23:BC29)</f>
        <v>24.74</v>
      </c>
      <c r="BD31" s="121">
        <f t="shared" si="37"/>
        <v>17.389999999999997</v>
      </c>
      <c r="BE31" s="121">
        <f t="shared" si="37"/>
        <v>89.616000000000014</v>
      </c>
      <c r="BF31" s="121">
        <f t="shared" si="37"/>
        <v>594.49</v>
      </c>
      <c r="BG31" s="121">
        <f t="shared" si="37"/>
        <v>11.67</v>
      </c>
      <c r="BH31" s="214"/>
      <c r="BI31" s="115" t="s">
        <v>33</v>
      </c>
      <c r="BJ31" s="115"/>
      <c r="BK31" s="115"/>
      <c r="BL31" s="121">
        <f>SUM(BL23:BL29)</f>
        <v>710</v>
      </c>
      <c r="BM31" s="121">
        <f t="shared" ref="BM31:BQ31" si="38">SUM(BM23:BM28)</f>
        <v>24.86</v>
      </c>
      <c r="BN31" s="121">
        <f t="shared" si="38"/>
        <v>12.548000000000002</v>
      </c>
      <c r="BO31" s="121">
        <f t="shared" si="38"/>
        <v>83.58</v>
      </c>
      <c r="BP31" s="121">
        <f t="shared" si="38"/>
        <v>556.52199999999993</v>
      </c>
      <c r="BQ31" s="121">
        <f t="shared" si="38"/>
        <v>11.78</v>
      </c>
      <c r="BR31" s="214"/>
      <c r="BS31" s="115" t="s">
        <v>33</v>
      </c>
      <c r="BT31" s="115"/>
      <c r="BU31" s="115"/>
      <c r="BV31" s="115">
        <f>SUM(BV23:BV30)</f>
        <v>700</v>
      </c>
      <c r="BW31" s="121">
        <f>SUM(BW23:BW30)</f>
        <v>23.258199999999999</v>
      </c>
      <c r="BX31" s="115">
        <f t="shared" ref="BX31:CA31" si="39">SUM(BX23:BX30)</f>
        <v>16.190000000000001</v>
      </c>
      <c r="BY31" s="115">
        <f t="shared" si="39"/>
        <v>89.2</v>
      </c>
      <c r="BZ31" s="115">
        <f t="shared" si="39"/>
        <v>594.6</v>
      </c>
      <c r="CA31" s="115">
        <f t="shared" si="39"/>
        <v>26.654199999999999</v>
      </c>
      <c r="CB31" s="214"/>
      <c r="CC31" s="115" t="s">
        <v>33</v>
      </c>
      <c r="CD31" s="115"/>
      <c r="CE31" s="115"/>
      <c r="CF31" s="115">
        <f t="shared" ref="CF31:CK31" si="40">SUM(CF23:CF30)</f>
        <v>725</v>
      </c>
      <c r="CG31" s="121">
        <f t="shared" si="40"/>
        <v>20.826666666666668</v>
      </c>
      <c r="CH31" s="121">
        <f t="shared" si="40"/>
        <v>23.78</v>
      </c>
      <c r="CI31" s="121">
        <f t="shared" si="40"/>
        <v>92.86466666666665</v>
      </c>
      <c r="CJ31" s="121">
        <f t="shared" si="40"/>
        <v>670.9133333333333</v>
      </c>
      <c r="CK31" s="121">
        <f t="shared" si="40"/>
        <v>24.9</v>
      </c>
      <c r="CL31" s="214"/>
      <c r="CM31" s="115" t="s">
        <v>33</v>
      </c>
      <c r="CN31" s="115"/>
      <c r="CO31" s="115"/>
      <c r="CP31" s="115">
        <f t="shared" ref="CP31:CU31" si="41">SUM(CP23:CP30)</f>
        <v>665</v>
      </c>
      <c r="CQ31" s="115">
        <f t="shared" si="41"/>
        <v>24.928800000000003</v>
      </c>
      <c r="CR31" s="115">
        <f t="shared" si="41"/>
        <v>19.165600000000001</v>
      </c>
      <c r="CS31" s="115">
        <f t="shared" si="41"/>
        <v>86.726600000000005</v>
      </c>
      <c r="CT31" s="115">
        <f t="shared" si="41"/>
        <v>617.41200000000003</v>
      </c>
      <c r="CU31" s="115">
        <f t="shared" si="41"/>
        <v>31.741399999999999</v>
      </c>
      <c r="CV31" s="204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</row>
    <row r="32" spans="1:162" s="113" customFormat="1" x14ac:dyDescent="0.35">
      <c r="A32" s="113" t="s">
        <v>30</v>
      </c>
      <c r="B32" s="115"/>
      <c r="D32" s="113" t="s">
        <v>36</v>
      </c>
      <c r="E32" s="113">
        <v>18.899999999999999</v>
      </c>
      <c r="F32" s="113">
        <v>21</v>
      </c>
      <c r="G32" s="114">
        <v>91.35</v>
      </c>
      <c r="H32" s="114">
        <v>630</v>
      </c>
      <c r="J32" s="204"/>
      <c r="K32" s="115" t="s">
        <v>30</v>
      </c>
      <c r="L32" s="115"/>
      <c r="M32" s="115"/>
      <c r="N32" s="115" t="s">
        <v>36</v>
      </c>
      <c r="O32" s="115">
        <v>18.899999999999999</v>
      </c>
      <c r="P32" s="115">
        <v>21</v>
      </c>
      <c r="Q32" s="116">
        <v>91.35</v>
      </c>
      <c r="R32" s="116">
        <v>630</v>
      </c>
      <c r="S32" s="115"/>
      <c r="T32" s="204"/>
      <c r="U32" s="115" t="s">
        <v>30</v>
      </c>
      <c r="V32" s="115"/>
      <c r="W32" s="115"/>
      <c r="X32" s="115" t="s">
        <v>36</v>
      </c>
      <c r="Y32" s="115">
        <v>18.899999999999999</v>
      </c>
      <c r="Z32" s="115">
        <v>21</v>
      </c>
      <c r="AA32" s="116">
        <v>91.35</v>
      </c>
      <c r="AB32" s="116">
        <v>630</v>
      </c>
      <c r="AC32" s="115"/>
      <c r="AD32" s="204"/>
      <c r="AE32" s="115" t="s">
        <v>30</v>
      </c>
      <c r="AF32" s="115"/>
      <c r="AG32" s="115"/>
      <c r="AH32" s="115" t="s">
        <v>36</v>
      </c>
      <c r="AI32" s="121">
        <v>18.899999999999999</v>
      </c>
      <c r="AJ32" s="121">
        <v>21</v>
      </c>
      <c r="AK32" s="121">
        <v>91.35</v>
      </c>
      <c r="AL32" s="121">
        <v>630</v>
      </c>
      <c r="AM32" s="121"/>
      <c r="AN32" s="204"/>
      <c r="AO32" s="115" t="s">
        <v>30</v>
      </c>
      <c r="AP32" s="115"/>
      <c r="AQ32" s="115"/>
      <c r="AR32" s="115" t="s">
        <v>36</v>
      </c>
      <c r="AS32" s="121">
        <v>18.899999999999999</v>
      </c>
      <c r="AT32" s="121">
        <v>21</v>
      </c>
      <c r="AU32" s="121">
        <v>91.35</v>
      </c>
      <c r="AV32" s="121">
        <v>630</v>
      </c>
      <c r="AW32" s="121"/>
      <c r="AX32" s="204"/>
      <c r="AY32" s="115" t="s">
        <v>30</v>
      </c>
      <c r="AZ32" s="115"/>
      <c r="BA32" s="115"/>
      <c r="BB32" s="115" t="s">
        <v>36</v>
      </c>
      <c r="BC32" s="121">
        <v>18.899999999999999</v>
      </c>
      <c r="BD32" s="121">
        <v>21</v>
      </c>
      <c r="BE32" s="121">
        <v>91.35</v>
      </c>
      <c r="BF32" s="121">
        <v>630</v>
      </c>
      <c r="BG32" s="121"/>
      <c r="BH32" s="214"/>
      <c r="BI32" s="115" t="s">
        <v>30</v>
      </c>
      <c r="BJ32" s="115"/>
      <c r="BK32" s="115"/>
      <c r="BL32" s="115" t="s">
        <v>36</v>
      </c>
      <c r="BM32" s="121">
        <v>18.899999999999999</v>
      </c>
      <c r="BN32" s="121">
        <v>21</v>
      </c>
      <c r="BO32" s="121">
        <v>91.35</v>
      </c>
      <c r="BP32" s="121">
        <v>630</v>
      </c>
      <c r="BQ32" s="121"/>
      <c r="BR32" s="214"/>
      <c r="BS32" s="115" t="s">
        <v>30</v>
      </c>
      <c r="BT32" s="115"/>
      <c r="BU32" s="115"/>
      <c r="BV32" s="115" t="s">
        <v>36</v>
      </c>
      <c r="BW32" s="115">
        <v>18.899999999999999</v>
      </c>
      <c r="BX32" s="115">
        <v>21</v>
      </c>
      <c r="BY32" s="116">
        <v>91.35</v>
      </c>
      <c r="BZ32" s="116">
        <v>630</v>
      </c>
      <c r="CA32" s="115"/>
      <c r="CB32" s="214"/>
      <c r="CC32" s="115" t="s">
        <v>30</v>
      </c>
      <c r="CD32" s="115"/>
      <c r="CE32" s="115"/>
      <c r="CF32" s="115" t="s">
        <v>36</v>
      </c>
      <c r="CG32" s="115">
        <v>18.899999999999999</v>
      </c>
      <c r="CH32" s="115">
        <v>21</v>
      </c>
      <c r="CI32" s="116">
        <v>91.35</v>
      </c>
      <c r="CJ32" s="116">
        <v>630</v>
      </c>
      <c r="CK32" s="115"/>
      <c r="CL32" s="214"/>
      <c r="CM32" s="115" t="s">
        <v>30</v>
      </c>
      <c r="CN32" s="115"/>
      <c r="CO32" s="115"/>
      <c r="CP32" s="115" t="s">
        <v>36</v>
      </c>
      <c r="CQ32" s="115">
        <v>18.899999999999999</v>
      </c>
      <c r="CR32" s="115">
        <v>21</v>
      </c>
      <c r="CS32" s="116">
        <v>91.35</v>
      </c>
      <c r="CT32" s="116">
        <v>630</v>
      </c>
      <c r="CU32" s="115"/>
      <c r="CV32" s="204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</row>
    <row r="33" spans="1:162" s="81" customFormat="1" x14ac:dyDescent="0.35">
      <c r="B33" s="102"/>
      <c r="G33" s="120"/>
      <c r="H33" s="120"/>
      <c r="J33" s="204"/>
      <c r="K33" s="102"/>
      <c r="L33" s="102"/>
      <c r="M33" s="102"/>
      <c r="N33" s="102"/>
      <c r="O33" s="102"/>
      <c r="P33" s="102"/>
      <c r="Q33" s="124"/>
      <c r="R33" s="124"/>
      <c r="S33" s="102"/>
      <c r="T33" s="204"/>
      <c r="U33" s="102"/>
      <c r="V33" s="102"/>
      <c r="W33" s="102"/>
      <c r="X33" s="102"/>
      <c r="Y33" s="102"/>
      <c r="Z33" s="102"/>
      <c r="AA33" s="124"/>
      <c r="AB33" s="124"/>
      <c r="AC33" s="102"/>
      <c r="AD33" s="204"/>
      <c r="AE33" s="102"/>
      <c r="AF33" s="102"/>
      <c r="AG33" s="102"/>
      <c r="AH33" s="102"/>
      <c r="AI33" s="126"/>
      <c r="AJ33" s="126"/>
      <c r="AK33" s="126"/>
      <c r="AL33" s="126"/>
      <c r="AM33" s="126"/>
      <c r="AN33" s="204"/>
      <c r="AO33" s="122"/>
      <c r="AP33" s="102"/>
      <c r="AQ33" s="122"/>
      <c r="AR33" s="122"/>
      <c r="AS33" s="127"/>
      <c r="AT33" s="127"/>
      <c r="AU33" s="127"/>
      <c r="AV33" s="127"/>
      <c r="AW33" s="127"/>
      <c r="AX33" s="204"/>
      <c r="AY33" s="102"/>
      <c r="AZ33" s="102"/>
      <c r="BA33" s="102"/>
      <c r="BB33" s="102"/>
      <c r="BC33" s="126"/>
      <c r="BD33" s="126"/>
      <c r="BE33" s="126"/>
      <c r="BF33" s="126"/>
      <c r="BG33" s="126"/>
      <c r="BH33" s="214"/>
      <c r="BI33" s="102"/>
      <c r="BJ33" s="102"/>
      <c r="BK33" s="102"/>
      <c r="BL33" s="102"/>
      <c r="BM33" s="126"/>
      <c r="BN33" s="126"/>
      <c r="BO33" s="126"/>
      <c r="BP33" s="126"/>
      <c r="BQ33" s="126"/>
      <c r="BR33" s="214"/>
      <c r="BS33" s="102"/>
      <c r="BT33" s="102"/>
      <c r="BU33" s="102"/>
      <c r="BV33" s="102"/>
      <c r="BW33" s="102"/>
      <c r="BX33" s="102"/>
      <c r="BY33" s="124"/>
      <c r="BZ33" s="124"/>
      <c r="CA33" s="102"/>
      <c r="CB33" s="214"/>
      <c r="CC33" s="102"/>
      <c r="CD33" s="102"/>
      <c r="CE33" s="102"/>
      <c r="CF33" s="102"/>
      <c r="CG33" s="102"/>
      <c r="CH33" s="102"/>
      <c r="CI33" s="124"/>
      <c r="CJ33" s="124"/>
      <c r="CK33" s="102"/>
      <c r="CL33" s="214"/>
      <c r="CM33" s="102"/>
      <c r="CN33" s="102"/>
      <c r="CO33" s="102"/>
      <c r="CP33" s="102"/>
      <c r="CQ33" s="102"/>
      <c r="CR33" s="102"/>
      <c r="CS33" s="124"/>
      <c r="CT33" s="124"/>
      <c r="CU33" s="102"/>
      <c r="CV33" s="204"/>
    </row>
    <row r="34" spans="1:162" s="92" customFormat="1" x14ac:dyDescent="0.35">
      <c r="A34" s="208" t="s">
        <v>29</v>
      </c>
      <c r="B34" s="209"/>
      <c r="C34" s="209"/>
      <c r="D34" s="209"/>
      <c r="E34" s="209"/>
      <c r="F34" s="209"/>
      <c r="G34" s="209"/>
      <c r="H34" s="209"/>
      <c r="I34" s="210"/>
      <c r="J34" s="204"/>
      <c r="K34" s="205" t="s">
        <v>29</v>
      </c>
      <c r="L34" s="206"/>
      <c r="M34" s="206"/>
      <c r="N34" s="206"/>
      <c r="O34" s="206"/>
      <c r="P34" s="206"/>
      <c r="Q34" s="206"/>
      <c r="R34" s="206"/>
      <c r="S34" s="207"/>
      <c r="T34" s="204"/>
      <c r="U34" s="205" t="s">
        <v>29</v>
      </c>
      <c r="V34" s="206"/>
      <c r="W34" s="206"/>
      <c r="X34" s="206"/>
      <c r="Y34" s="206"/>
      <c r="Z34" s="206"/>
      <c r="AA34" s="206"/>
      <c r="AB34" s="206"/>
      <c r="AC34" s="207"/>
      <c r="AD34" s="204"/>
      <c r="AE34" s="136" t="s">
        <v>29</v>
      </c>
      <c r="AF34" s="151"/>
      <c r="AG34" s="137"/>
      <c r="AH34" s="137"/>
      <c r="AI34" s="137"/>
      <c r="AJ34" s="137"/>
      <c r="AK34" s="137"/>
      <c r="AL34" s="137"/>
      <c r="AM34" s="138"/>
      <c r="AN34" s="204"/>
      <c r="AO34" s="205" t="s">
        <v>29</v>
      </c>
      <c r="AP34" s="206"/>
      <c r="AQ34" s="206"/>
      <c r="AR34" s="206"/>
      <c r="AS34" s="206"/>
      <c r="AT34" s="206"/>
      <c r="AU34" s="206"/>
      <c r="AV34" s="206"/>
      <c r="AW34" s="207"/>
      <c r="AX34" s="204"/>
      <c r="AY34" s="205" t="s">
        <v>29</v>
      </c>
      <c r="AZ34" s="206"/>
      <c r="BA34" s="206"/>
      <c r="BB34" s="206"/>
      <c r="BC34" s="206"/>
      <c r="BD34" s="206"/>
      <c r="BE34" s="206"/>
      <c r="BF34" s="206"/>
      <c r="BG34" s="207"/>
      <c r="BH34" s="214"/>
      <c r="BI34" s="205" t="s">
        <v>29</v>
      </c>
      <c r="BJ34" s="206"/>
      <c r="BK34" s="206"/>
      <c r="BL34" s="206"/>
      <c r="BM34" s="206"/>
      <c r="BN34" s="206"/>
      <c r="BO34" s="206"/>
      <c r="BP34" s="206"/>
      <c r="BQ34" s="207"/>
      <c r="BR34" s="214"/>
      <c r="BS34" s="205" t="s">
        <v>29</v>
      </c>
      <c r="BT34" s="206"/>
      <c r="BU34" s="206"/>
      <c r="BV34" s="206"/>
      <c r="BW34" s="206"/>
      <c r="BX34" s="206"/>
      <c r="BY34" s="206"/>
      <c r="BZ34" s="206"/>
      <c r="CA34" s="207"/>
      <c r="CB34" s="214"/>
      <c r="CC34" s="205" t="s">
        <v>29</v>
      </c>
      <c r="CD34" s="206"/>
      <c r="CE34" s="206"/>
      <c r="CF34" s="206"/>
      <c r="CG34" s="206"/>
      <c r="CH34" s="206"/>
      <c r="CI34" s="206"/>
      <c r="CJ34" s="206"/>
      <c r="CK34" s="207"/>
      <c r="CL34" s="214"/>
      <c r="CM34" s="205" t="s">
        <v>29</v>
      </c>
      <c r="CN34" s="206"/>
      <c r="CO34" s="206"/>
      <c r="CP34" s="206"/>
      <c r="CQ34" s="206"/>
      <c r="CR34" s="206"/>
      <c r="CS34" s="206"/>
      <c r="CT34" s="206"/>
      <c r="CU34" s="207"/>
      <c r="CV34" s="204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</row>
    <row r="35" spans="1:162" x14ac:dyDescent="0.35">
      <c r="B35" s="97">
        <v>313</v>
      </c>
      <c r="C35" s="97" t="s">
        <v>154</v>
      </c>
      <c r="D35" s="97">
        <v>120</v>
      </c>
      <c r="E35" s="100">
        <v>4.2</v>
      </c>
      <c r="F35" s="100">
        <v>2.5499999999999998</v>
      </c>
      <c r="G35" s="100">
        <v>25.9</v>
      </c>
      <c r="H35" s="100">
        <f t="shared" ref="H35:H39" si="42">G35*4+F35*9+E35*4</f>
        <v>143.35</v>
      </c>
      <c r="I35" s="100"/>
      <c r="J35" s="204"/>
      <c r="K35" s="103"/>
      <c r="L35" s="97">
        <v>22</v>
      </c>
      <c r="M35" s="97" t="s">
        <v>104</v>
      </c>
      <c r="N35" s="97">
        <v>60</v>
      </c>
      <c r="O35" s="185">
        <v>1.0900000000000001</v>
      </c>
      <c r="P35" s="185">
        <v>4.17</v>
      </c>
      <c r="Q35" s="185">
        <v>6.86</v>
      </c>
      <c r="R35" s="185">
        <v>69.3</v>
      </c>
      <c r="S35" s="185">
        <v>9.6</v>
      </c>
      <c r="T35" s="204"/>
      <c r="U35" s="103"/>
      <c r="V35" s="97"/>
      <c r="W35" s="97" t="s">
        <v>106</v>
      </c>
      <c r="X35" s="97">
        <v>60</v>
      </c>
      <c r="Y35" s="100">
        <v>0.78</v>
      </c>
      <c r="Z35" s="100">
        <v>2.48</v>
      </c>
      <c r="AA35" s="100">
        <v>4.29</v>
      </c>
      <c r="AB35" s="100">
        <f>AA35*4+Z35*9+Y35*4</f>
        <v>42.6</v>
      </c>
      <c r="AC35" s="100">
        <v>2.62</v>
      </c>
      <c r="AD35" s="204"/>
      <c r="AE35" s="103"/>
      <c r="AF35" s="103">
        <v>40</v>
      </c>
      <c r="AG35" s="157" t="s">
        <v>188</v>
      </c>
      <c r="AH35" s="82">
        <v>60</v>
      </c>
      <c r="AI35" s="82">
        <v>0.77</v>
      </c>
      <c r="AJ35" s="82">
        <v>3.08</v>
      </c>
      <c r="AK35" s="82">
        <v>6.56</v>
      </c>
      <c r="AL35" s="100">
        <f t="shared" ref="AL35:AL40" si="43">AK35*4+AJ35*9+AI35*4</f>
        <v>57.039999999999992</v>
      </c>
      <c r="AM35" s="82">
        <v>3</v>
      </c>
      <c r="AN35" s="204"/>
      <c r="AO35" s="103"/>
      <c r="AP35" s="97">
        <v>34</v>
      </c>
      <c r="AQ35" s="97" t="s">
        <v>217</v>
      </c>
      <c r="AR35" s="97">
        <v>60</v>
      </c>
      <c r="AS35" s="100">
        <v>1</v>
      </c>
      <c r="AT35" s="100">
        <v>2.5099999999999998</v>
      </c>
      <c r="AU35" s="100">
        <v>4.92</v>
      </c>
      <c r="AV35" s="100">
        <v>46.24</v>
      </c>
      <c r="AW35" s="100">
        <v>5.88</v>
      </c>
      <c r="AX35" s="204"/>
      <c r="AY35" s="103"/>
      <c r="AZ35" s="97">
        <v>76</v>
      </c>
      <c r="BA35" s="97" t="s">
        <v>150</v>
      </c>
      <c r="BB35" s="97">
        <v>55</v>
      </c>
      <c r="BC35" s="98">
        <v>2.69</v>
      </c>
      <c r="BD35" s="98">
        <v>6.27</v>
      </c>
      <c r="BE35" s="98">
        <v>0.91</v>
      </c>
      <c r="BF35" s="185">
        <v>71</v>
      </c>
      <c r="BG35" s="98"/>
      <c r="BH35" s="214"/>
      <c r="BI35" s="103"/>
      <c r="BJ35" s="103">
        <v>39</v>
      </c>
      <c r="BK35" s="144" t="s">
        <v>188</v>
      </c>
      <c r="BL35" s="82">
        <v>60</v>
      </c>
      <c r="BM35" s="145">
        <v>0.77</v>
      </c>
      <c r="BN35" s="145">
        <v>3.08</v>
      </c>
      <c r="BO35" s="145">
        <v>6.56</v>
      </c>
      <c r="BP35" s="100">
        <f>BO35*4+BN35*9+BM35*4</f>
        <v>57.039999999999992</v>
      </c>
      <c r="BQ35" s="145">
        <v>3</v>
      </c>
      <c r="BR35" s="214"/>
      <c r="BS35" s="103"/>
      <c r="BT35" s="97">
        <v>22</v>
      </c>
      <c r="BU35" s="163" t="s">
        <v>227</v>
      </c>
      <c r="BV35" s="101">
        <v>60</v>
      </c>
      <c r="BW35" s="100">
        <v>1.0900000000000001</v>
      </c>
      <c r="BX35" s="100">
        <v>4.17</v>
      </c>
      <c r="BY35" s="100">
        <v>6.86</v>
      </c>
      <c r="BZ35" s="100">
        <f t="shared" ref="BZ35:BZ39" si="44">BY35*4+BX35*9+BW35*4</f>
        <v>69.33</v>
      </c>
      <c r="CA35" s="100">
        <v>9.6</v>
      </c>
      <c r="CB35" s="214"/>
      <c r="CC35" s="103"/>
      <c r="CD35" s="97"/>
      <c r="CE35" s="97" t="s">
        <v>226</v>
      </c>
      <c r="CF35" s="189">
        <v>60</v>
      </c>
      <c r="CG35" s="185">
        <v>0.84</v>
      </c>
      <c r="CH35" s="185">
        <v>3.05</v>
      </c>
      <c r="CI35" s="185">
        <v>5.41</v>
      </c>
      <c r="CJ35" s="185">
        <v>52.45</v>
      </c>
      <c r="CK35" s="185">
        <v>19.47</v>
      </c>
      <c r="CL35" s="214"/>
      <c r="CM35" s="103"/>
      <c r="CN35" s="97" t="s">
        <v>107</v>
      </c>
      <c r="CO35" s="97" t="s">
        <v>108</v>
      </c>
      <c r="CP35" s="97">
        <v>50</v>
      </c>
      <c r="CQ35" s="100">
        <v>0.6</v>
      </c>
      <c r="CR35" s="100">
        <v>3.8</v>
      </c>
      <c r="CS35" s="100">
        <v>3.84</v>
      </c>
      <c r="CT35" s="100">
        <v>35.18</v>
      </c>
      <c r="CU35" s="100">
        <v>6.62</v>
      </c>
      <c r="CV35" s="204"/>
    </row>
    <row r="36" spans="1:162" s="81" customFormat="1" x14ac:dyDescent="0.35">
      <c r="B36" s="97">
        <v>437</v>
      </c>
      <c r="C36" s="97" t="s">
        <v>229</v>
      </c>
      <c r="D36" s="97">
        <v>80</v>
      </c>
      <c r="E36" s="100">
        <v>14.2</v>
      </c>
      <c r="F36" s="100">
        <v>13.6</v>
      </c>
      <c r="G36" s="100">
        <v>1.6</v>
      </c>
      <c r="H36" s="185">
        <v>185</v>
      </c>
      <c r="I36" s="106"/>
      <c r="J36" s="204"/>
      <c r="K36" s="102"/>
      <c r="L36" s="97"/>
      <c r="M36" s="97" t="s">
        <v>222</v>
      </c>
      <c r="N36" s="97">
        <v>150</v>
      </c>
      <c r="O36" s="100">
        <v>13.07</v>
      </c>
      <c r="P36" s="100">
        <v>4.37</v>
      </c>
      <c r="Q36" s="100">
        <v>2.57</v>
      </c>
      <c r="R36" s="100">
        <f t="shared" ref="R36:R39" si="45">Q36*4+P36*9+O36*4</f>
        <v>101.89</v>
      </c>
      <c r="S36" s="100">
        <v>0.17</v>
      </c>
      <c r="T36" s="204"/>
      <c r="U36" s="103"/>
      <c r="V36" s="97"/>
      <c r="W36" s="97" t="s">
        <v>123</v>
      </c>
      <c r="X36" s="97">
        <v>80</v>
      </c>
      <c r="Y36" s="100">
        <v>9.57</v>
      </c>
      <c r="Z36" s="100">
        <v>3.72</v>
      </c>
      <c r="AA36" s="100">
        <v>9.68</v>
      </c>
      <c r="AB36" s="185">
        <v>110.5</v>
      </c>
      <c r="AC36" s="100">
        <v>0.12</v>
      </c>
      <c r="AD36" s="204"/>
      <c r="AE36" s="102"/>
      <c r="AF36" s="97">
        <v>238</v>
      </c>
      <c r="AG36" s="97" t="s">
        <v>141</v>
      </c>
      <c r="AH36" s="97">
        <v>150</v>
      </c>
      <c r="AI36" s="100">
        <f>11.66*180/100</f>
        <v>20.988000000000003</v>
      </c>
      <c r="AJ36" s="100">
        <f>10.29*180/100</f>
        <v>18.521999999999998</v>
      </c>
      <c r="AK36" s="100">
        <f>23.78*180/100</f>
        <v>42.804000000000002</v>
      </c>
      <c r="AL36" s="100">
        <f t="shared" si="43"/>
        <v>421.86599999999999</v>
      </c>
      <c r="AM36" s="100">
        <f>0.71*180/100</f>
        <v>1.278</v>
      </c>
      <c r="AN36" s="204"/>
      <c r="AO36" s="102"/>
      <c r="AP36" s="97">
        <v>291</v>
      </c>
      <c r="AQ36" s="97" t="s">
        <v>183</v>
      </c>
      <c r="AR36" s="97">
        <v>160</v>
      </c>
      <c r="AS36" s="185">
        <v>10.18</v>
      </c>
      <c r="AT36" s="185">
        <v>6.25</v>
      </c>
      <c r="AU36" s="185">
        <v>27.33</v>
      </c>
      <c r="AV36" s="185">
        <v>206.3</v>
      </c>
      <c r="AW36" s="185">
        <v>5.43</v>
      </c>
      <c r="AX36" s="204"/>
      <c r="AY36" s="103"/>
      <c r="AZ36" s="97">
        <v>321</v>
      </c>
      <c r="BA36" s="97" t="s">
        <v>44</v>
      </c>
      <c r="BB36" s="97">
        <v>100</v>
      </c>
      <c r="BC36" s="185">
        <v>2.0299999999999998</v>
      </c>
      <c r="BD36" s="185">
        <v>4</v>
      </c>
      <c r="BE36" s="185">
        <v>17.03</v>
      </c>
      <c r="BF36" s="185">
        <v>144.38</v>
      </c>
      <c r="BG36" s="185">
        <v>15.13</v>
      </c>
      <c r="BH36" s="214"/>
      <c r="BI36" s="103"/>
      <c r="BJ36" s="97">
        <v>236</v>
      </c>
      <c r="BK36" s="148" t="s">
        <v>187</v>
      </c>
      <c r="BL36" s="131">
        <v>130</v>
      </c>
      <c r="BM36" s="106">
        <v>19.68</v>
      </c>
      <c r="BN36" s="106">
        <v>13.99</v>
      </c>
      <c r="BO36" s="106">
        <v>31.63</v>
      </c>
      <c r="BP36" s="100">
        <v>331.14</v>
      </c>
      <c r="BQ36" s="106">
        <v>0.34</v>
      </c>
      <c r="BR36" s="214"/>
      <c r="BS36" s="103"/>
      <c r="BT36" s="97"/>
      <c r="BU36" s="97" t="s">
        <v>173</v>
      </c>
      <c r="BV36" s="97">
        <v>80</v>
      </c>
      <c r="BW36" s="100">
        <f>8.14*80/120</f>
        <v>5.4266666666666667</v>
      </c>
      <c r="BX36" s="100">
        <f>9.04*80/120</f>
        <v>6.0266666666666664</v>
      </c>
      <c r="BY36" s="100">
        <f>10.3*80/120</f>
        <v>6.8666666666666663</v>
      </c>
      <c r="BZ36" s="100">
        <f t="shared" si="44"/>
        <v>103.41333333333333</v>
      </c>
      <c r="CA36" s="100">
        <f>0.45*80/120</f>
        <v>0.3</v>
      </c>
      <c r="CB36" s="214"/>
      <c r="CC36" s="103"/>
      <c r="CD36" s="97"/>
      <c r="CE36" s="128" t="s">
        <v>142</v>
      </c>
      <c r="CF36" s="97">
        <v>60</v>
      </c>
      <c r="CG36" s="100">
        <f>10.14*80/120</f>
        <v>6.7600000000000007</v>
      </c>
      <c r="CH36" s="100">
        <f>11.04*80/120</f>
        <v>7.3599999999999994</v>
      </c>
      <c r="CI36" s="100">
        <f>9.3*80/120</f>
        <v>6.2</v>
      </c>
      <c r="CJ36" s="100">
        <f t="shared" ref="CJ36" si="46">CI36*4+CH36*9+CG36*4</f>
        <v>118.08</v>
      </c>
      <c r="CK36" s="100"/>
      <c r="CL36" s="214"/>
      <c r="CM36" s="102"/>
      <c r="CN36" s="97"/>
      <c r="CO36" s="96" t="s">
        <v>124</v>
      </c>
      <c r="CP36" s="96">
        <v>80</v>
      </c>
      <c r="CQ36" s="100">
        <v>10.91</v>
      </c>
      <c r="CR36" s="100">
        <v>3.34</v>
      </c>
      <c r="CS36" s="100">
        <v>4.45</v>
      </c>
      <c r="CT36" s="100">
        <f t="shared" ref="CT36:CT39" si="47">CS36*4+CR36*9+CQ36*4</f>
        <v>91.5</v>
      </c>
      <c r="CU36" s="100">
        <v>0.28999999999999998</v>
      </c>
      <c r="CV36" s="204"/>
    </row>
    <row r="37" spans="1:162" x14ac:dyDescent="0.35">
      <c r="B37" s="97">
        <v>368</v>
      </c>
      <c r="C37" s="97" t="s">
        <v>43</v>
      </c>
      <c r="D37" s="97">
        <v>100</v>
      </c>
      <c r="E37" s="100">
        <v>0.4</v>
      </c>
      <c r="F37" s="100">
        <v>0.4</v>
      </c>
      <c r="G37" s="100">
        <v>9.8000000000000007</v>
      </c>
      <c r="H37" s="100">
        <f t="shared" si="42"/>
        <v>44.400000000000006</v>
      </c>
      <c r="I37" s="100">
        <v>10</v>
      </c>
      <c r="J37" s="204"/>
      <c r="K37" s="103"/>
      <c r="L37" s="97">
        <v>394</v>
      </c>
      <c r="M37" s="97" t="s">
        <v>247</v>
      </c>
      <c r="N37" s="97">
        <v>180</v>
      </c>
      <c r="O37" s="100">
        <v>2.67</v>
      </c>
      <c r="P37" s="100">
        <v>2.34</v>
      </c>
      <c r="Q37" s="100">
        <v>14.3</v>
      </c>
      <c r="R37" s="100">
        <v>89</v>
      </c>
      <c r="S37" s="98">
        <v>1.2</v>
      </c>
      <c r="T37" s="204"/>
      <c r="U37" s="103"/>
      <c r="V37" s="97">
        <v>319</v>
      </c>
      <c r="W37" s="97" t="s">
        <v>92</v>
      </c>
      <c r="X37" s="97">
        <v>120</v>
      </c>
      <c r="Y37" s="100">
        <v>2.81</v>
      </c>
      <c r="Z37" s="100">
        <v>2.98</v>
      </c>
      <c r="AA37" s="185">
        <v>15.72</v>
      </c>
      <c r="AB37" s="185">
        <v>101.28</v>
      </c>
      <c r="AC37" s="100">
        <v>12.93</v>
      </c>
      <c r="AD37" s="204"/>
      <c r="AE37" s="103"/>
      <c r="AF37" s="97">
        <v>362</v>
      </c>
      <c r="AG37" s="97" t="s">
        <v>242</v>
      </c>
      <c r="AH37" s="97">
        <v>30</v>
      </c>
      <c r="AI37" s="98">
        <v>0.14000000000000001</v>
      </c>
      <c r="AJ37" s="98">
        <v>0.02</v>
      </c>
      <c r="AK37" s="98">
        <v>19.399999999999999</v>
      </c>
      <c r="AL37" s="185">
        <v>78.14</v>
      </c>
      <c r="AM37" s="98">
        <v>0.62</v>
      </c>
      <c r="AN37" s="204"/>
      <c r="AO37" s="103"/>
      <c r="AP37" s="97" t="s">
        <v>53</v>
      </c>
      <c r="AQ37" s="97" t="s">
        <v>94</v>
      </c>
      <c r="AR37" s="97">
        <v>15</v>
      </c>
      <c r="AS37" s="100">
        <v>0.25</v>
      </c>
      <c r="AT37" s="100">
        <v>2</v>
      </c>
      <c r="AU37" s="100">
        <v>0.32</v>
      </c>
      <c r="AV37" s="100">
        <f t="shared" ref="AV37" si="48">AU37*4+AT37*9+AS37*4</f>
        <v>20.28</v>
      </c>
      <c r="AW37" s="100"/>
      <c r="AX37" s="204"/>
      <c r="AY37" s="103"/>
      <c r="AZ37" s="97">
        <v>496</v>
      </c>
      <c r="BA37" s="148" t="s">
        <v>189</v>
      </c>
      <c r="BB37" s="96">
        <v>37</v>
      </c>
      <c r="BC37" s="185">
        <v>2.39</v>
      </c>
      <c r="BD37" s="185">
        <v>8.43</v>
      </c>
      <c r="BE37" s="185">
        <v>46.5</v>
      </c>
      <c r="BF37" s="185">
        <v>281.35000000000002</v>
      </c>
      <c r="BG37" s="106"/>
      <c r="BH37" s="214"/>
      <c r="BI37" s="103"/>
      <c r="BJ37" s="97">
        <v>262</v>
      </c>
      <c r="BK37" s="148" t="s">
        <v>148</v>
      </c>
      <c r="BL37" s="131">
        <v>30</v>
      </c>
      <c r="BM37" s="185">
        <v>0.14000000000000001</v>
      </c>
      <c r="BN37" s="185">
        <v>0.02</v>
      </c>
      <c r="BO37" s="185">
        <v>19.399999999999999</v>
      </c>
      <c r="BP37" s="185">
        <v>78.14</v>
      </c>
      <c r="BQ37" s="185">
        <v>0.62</v>
      </c>
      <c r="BR37" s="214"/>
      <c r="BS37" s="103"/>
      <c r="BT37" s="97">
        <v>332</v>
      </c>
      <c r="BU37" s="97" t="s">
        <v>178</v>
      </c>
      <c r="BV37" s="97">
        <v>150</v>
      </c>
      <c r="BW37" s="100">
        <v>2.77</v>
      </c>
      <c r="BX37" s="100">
        <v>4.84</v>
      </c>
      <c r="BY37" s="100">
        <v>10.79</v>
      </c>
      <c r="BZ37" s="100">
        <f t="shared" si="44"/>
        <v>97.8</v>
      </c>
      <c r="CA37" s="100">
        <v>10.26</v>
      </c>
      <c r="CB37" s="214"/>
      <c r="CC37" s="103"/>
      <c r="CD37" s="97">
        <v>313</v>
      </c>
      <c r="CE37" s="97" t="s">
        <v>154</v>
      </c>
      <c r="CF37" s="97">
        <v>120</v>
      </c>
      <c r="CG37" s="185">
        <v>4.2</v>
      </c>
      <c r="CH37" s="185">
        <v>2.5499999999999998</v>
      </c>
      <c r="CI37" s="185">
        <v>25.9</v>
      </c>
      <c r="CJ37" s="100">
        <f t="shared" ref="CJ37:CJ40" si="49">CI37*4+CH37*9+CG37*4</f>
        <v>143.35</v>
      </c>
      <c r="CK37" s="100"/>
      <c r="CL37" s="214"/>
      <c r="CM37" s="103"/>
      <c r="CN37" s="97">
        <v>322</v>
      </c>
      <c r="CO37" s="97" t="s">
        <v>153</v>
      </c>
      <c r="CP37" s="189">
        <v>130</v>
      </c>
      <c r="CQ37" s="100">
        <v>1.91</v>
      </c>
      <c r="CR37" s="100">
        <v>3.08</v>
      </c>
      <c r="CS37" s="100">
        <v>12.01</v>
      </c>
      <c r="CT37" s="100">
        <v>83.41</v>
      </c>
      <c r="CU37" s="100">
        <v>10.5</v>
      </c>
      <c r="CV37" s="204"/>
    </row>
    <row r="38" spans="1:162" x14ac:dyDescent="0.35">
      <c r="B38" s="97">
        <v>400</v>
      </c>
      <c r="C38" s="97" t="s">
        <v>161</v>
      </c>
      <c r="D38" s="132">
        <v>200</v>
      </c>
      <c r="E38" s="100">
        <f>5.48*200/180</f>
        <v>6.0888888888888886</v>
      </c>
      <c r="F38" s="100">
        <f>4.88*200/180</f>
        <v>5.4222222222222225</v>
      </c>
      <c r="G38" s="100">
        <v>10.07</v>
      </c>
      <c r="H38" s="185">
        <v>133.33000000000001</v>
      </c>
      <c r="I38" s="100">
        <f>2.46*200/180</f>
        <v>2.7333333333333334</v>
      </c>
      <c r="J38" s="204"/>
      <c r="K38" s="103"/>
      <c r="L38" s="105">
        <v>489</v>
      </c>
      <c r="M38" s="105" t="s">
        <v>99</v>
      </c>
      <c r="N38" s="105">
        <v>37</v>
      </c>
      <c r="O38" s="100">
        <f>4.36*37/75</f>
        <v>2.1509333333333336</v>
      </c>
      <c r="P38" s="100">
        <f>13.69*37/75</f>
        <v>6.7537333333333329</v>
      </c>
      <c r="Q38" s="100">
        <f>37.51*37/75</f>
        <v>18.50493333333333</v>
      </c>
      <c r="R38" s="100">
        <f t="shared" si="45"/>
        <v>143.40706666666665</v>
      </c>
      <c r="S38" s="100">
        <f>0.22*37/75</f>
        <v>0.10853333333333334</v>
      </c>
      <c r="T38" s="204"/>
      <c r="U38" s="103"/>
      <c r="V38" s="97">
        <v>454</v>
      </c>
      <c r="W38" s="97" t="s">
        <v>182</v>
      </c>
      <c r="X38" s="97">
        <v>35</v>
      </c>
      <c r="Y38" s="100">
        <v>4.41</v>
      </c>
      <c r="Z38" s="100">
        <v>1.99</v>
      </c>
      <c r="AA38" s="100">
        <v>12.7</v>
      </c>
      <c r="AB38" s="100">
        <v>86.44</v>
      </c>
      <c r="AC38" s="100">
        <v>3.5000000000000003E-2</v>
      </c>
      <c r="AD38" s="204"/>
      <c r="AE38" s="103"/>
      <c r="AF38" s="97">
        <v>400</v>
      </c>
      <c r="AG38" s="97" t="s">
        <v>161</v>
      </c>
      <c r="AH38" s="97">
        <v>200</v>
      </c>
      <c r="AI38" s="106">
        <v>6.09</v>
      </c>
      <c r="AJ38" s="106">
        <v>5.42</v>
      </c>
      <c r="AK38" s="106">
        <v>10.07</v>
      </c>
      <c r="AL38" s="100">
        <v>113.42</v>
      </c>
      <c r="AM38" s="106">
        <v>2.73</v>
      </c>
      <c r="AN38" s="204"/>
      <c r="AO38" s="103"/>
      <c r="AP38" s="97">
        <v>460</v>
      </c>
      <c r="AQ38" s="97" t="s">
        <v>84</v>
      </c>
      <c r="AR38" s="97">
        <v>40</v>
      </c>
      <c r="AS38" s="100">
        <f>3.54*40/50</f>
        <v>2.8319999999999999</v>
      </c>
      <c r="AT38" s="100">
        <f>6.57*40/50</f>
        <v>5.2560000000000002</v>
      </c>
      <c r="AU38" s="100">
        <f>27.87*40/50</f>
        <v>22.295999999999999</v>
      </c>
      <c r="AV38" s="100">
        <f t="shared" ref="AV38:AV40" si="50">AU38*4+AT38*9+AS38*4</f>
        <v>147.816</v>
      </c>
      <c r="AW38" s="100"/>
      <c r="AX38" s="204"/>
      <c r="AY38" s="103"/>
      <c r="AZ38" s="97">
        <v>395</v>
      </c>
      <c r="BA38" s="97" t="s">
        <v>190</v>
      </c>
      <c r="BB38" s="97">
        <v>180</v>
      </c>
      <c r="BC38" s="185">
        <v>2.85</v>
      </c>
      <c r="BD38" s="185">
        <v>2.41</v>
      </c>
      <c r="BE38" s="185">
        <v>14.4</v>
      </c>
      <c r="BF38" s="185">
        <v>91</v>
      </c>
      <c r="BG38" s="185">
        <v>1.17</v>
      </c>
      <c r="BH38" s="214"/>
      <c r="BI38" s="103"/>
      <c r="BJ38" s="97">
        <v>400</v>
      </c>
      <c r="BK38" s="97" t="s">
        <v>161</v>
      </c>
      <c r="BL38" s="132">
        <v>200</v>
      </c>
      <c r="BM38" s="100">
        <f>5.48*200/180</f>
        <v>6.0888888888888886</v>
      </c>
      <c r="BN38" s="100">
        <f>4.88*200/180</f>
        <v>5.4222222222222225</v>
      </c>
      <c r="BO38" s="185">
        <v>1.07</v>
      </c>
      <c r="BP38" s="185">
        <v>133.33000000000001</v>
      </c>
      <c r="BQ38" s="100">
        <f>2.46*200/180</f>
        <v>2.7333333333333334</v>
      </c>
      <c r="BR38" s="214"/>
      <c r="BS38" s="103"/>
      <c r="BT38" s="97">
        <v>401</v>
      </c>
      <c r="BU38" s="97" t="s">
        <v>164</v>
      </c>
      <c r="BV38" s="97">
        <v>200</v>
      </c>
      <c r="BW38" s="185">
        <v>5.22</v>
      </c>
      <c r="BX38" s="185">
        <v>4.5</v>
      </c>
      <c r="BY38" s="185">
        <v>7.56</v>
      </c>
      <c r="BZ38" s="100">
        <f t="shared" si="44"/>
        <v>91.61999999999999</v>
      </c>
      <c r="CA38" s="185">
        <v>0.54</v>
      </c>
      <c r="CB38" s="214"/>
      <c r="CC38" s="103"/>
      <c r="CD38" s="97">
        <v>401</v>
      </c>
      <c r="CE38" s="97" t="s">
        <v>164</v>
      </c>
      <c r="CF38" s="97">
        <v>200</v>
      </c>
      <c r="CG38" s="185">
        <v>5.22</v>
      </c>
      <c r="CH38" s="185">
        <v>4.5</v>
      </c>
      <c r="CI38" s="185">
        <v>7.56</v>
      </c>
      <c r="CJ38" s="185">
        <v>92</v>
      </c>
      <c r="CK38" s="106"/>
      <c r="CL38" s="214"/>
      <c r="CM38" s="103"/>
      <c r="CN38" s="97">
        <v>476</v>
      </c>
      <c r="CO38" s="97" t="s">
        <v>139</v>
      </c>
      <c r="CP38" s="97">
        <v>30</v>
      </c>
      <c r="CQ38" s="100">
        <v>2.4</v>
      </c>
      <c r="CR38" s="100">
        <v>0.84</v>
      </c>
      <c r="CS38" s="185">
        <v>15.1</v>
      </c>
      <c r="CT38" s="185">
        <v>77.64</v>
      </c>
      <c r="CU38" s="100">
        <v>0.09</v>
      </c>
      <c r="CV38" s="204"/>
    </row>
    <row r="39" spans="1:162" x14ac:dyDescent="0.35">
      <c r="B39" s="97">
        <v>478</v>
      </c>
      <c r="C39" s="97" t="s">
        <v>134</v>
      </c>
      <c r="D39" s="109">
        <v>30</v>
      </c>
      <c r="E39" s="106">
        <v>2.0099999999999998</v>
      </c>
      <c r="F39" s="106">
        <v>2.99</v>
      </c>
      <c r="G39" s="106">
        <v>14.65</v>
      </c>
      <c r="H39" s="100">
        <f t="shared" si="42"/>
        <v>93.550000000000011</v>
      </c>
      <c r="I39" s="106">
        <v>0.03</v>
      </c>
      <c r="J39" s="204"/>
      <c r="K39" s="103"/>
      <c r="L39" s="97"/>
      <c r="M39" s="97" t="s">
        <v>34</v>
      </c>
      <c r="N39" s="109">
        <v>30</v>
      </c>
      <c r="O39" s="100">
        <v>2.37</v>
      </c>
      <c r="P39" s="100">
        <v>0.3</v>
      </c>
      <c r="Q39" s="100">
        <v>14.49</v>
      </c>
      <c r="R39" s="100">
        <f t="shared" si="45"/>
        <v>70.14</v>
      </c>
      <c r="S39" s="100"/>
      <c r="T39" s="204"/>
      <c r="U39" s="103"/>
      <c r="V39" s="154">
        <v>394</v>
      </c>
      <c r="W39" s="97" t="s">
        <v>247</v>
      </c>
      <c r="X39" s="97">
        <v>180</v>
      </c>
      <c r="Y39" s="100">
        <v>2.67</v>
      </c>
      <c r="Z39" s="100">
        <v>2.34</v>
      </c>
      <c r="AA39" s="100">
        <v>14.31</v>
      </c>
      <c r="AB39" s="100">
        <v>89</v>
      </c>
      <c r="AC39" s="98">
        <v>1.2</v>
      </c>
      <c r="AD39" s="204"/>
      <c r="AE39" s="103"/>
      <c r="AF39" s="97">
        <v>454</v>
      </c>
      <c r="AG39" s="97" t="s">
        <v>193</v>
      </c>
      <c r="AH39" s="97">
        <v>35</v>
      </c>
      <c r="AI39" s="98">
        <v>4.41</v>
      </c>
      <c r="AJ39" s="187">
        <v>1.99</v>
      </c>
      <c r="AK39" s="99">
        <v>12.71</v>
      </c>
      <c r="AL39" s="185">
        <v>86.44</v>
      </c>
      <c r="AM39" s="98">
        <v>3.5000000000000003E-2</v>
      </c>
      <c r="AN39" s="204"/>
      <c r="AO39" s="103"/>
      <c r="AP39" s="97">
        <v>401</v>
      </c>
      <c r="AQ39" s="97" t="s">
        <v>164</v>
      </c>
      <c r="AR39" s="97">
        <v>200</v>
      </c>
      <c r="AS39" s="98">
        <v>5.22</v>
      </c>
      <c r="AT39" s="98">
        <v>4.5</v>
      </c>
      <c r="AU39" s="99">
        <v>7.56</v>
      </c>
      <c r="AV39" s="100">
        <f t="shared" si="50"/>
        <v>91.61999999999999</v>
      </c>
      <c r="AW39" s="98">
        <v>0.54</v>
      </c>
      <c r="AX39" s="204"/>
      <c r="AY39" s="103"/>
      <c r="BA39" s="97" t="s">
        <v>160</v>
      </c>
      <c r="BB39" s="97">
        <v>25</v>
      </c>
      <c r="BC39" s="100">
        <v>1.65</v>
      </c>
      <c r="BD39" s="100">
        <v>0.18</v>
      </c>
      <c r="BE39" s="100">
        <v>8.5299999999999994</v>
      </c>
      <c r="BF39" s="185">
        <v>41.62</v>
      </c>
      <c r="BG39" s="100"/>
      <c r="BH39" s="214"/>
      <c r="BI39" s="103"/>
      <c r="BJ39" s="97"/>
      <c r="BK39" s="97" t="s">
        <v>34</v>
      </c>
      <c r="BL39" s="97">
        <v>20</v>
      </c>
      <c r="BM39" s="100">
        <f>7.9*20/100</f>
        <v>1.58</v>
      </c>
      <c r="BN39" s="100">
        <f>1*20/100</f>
        <v>0.2</v>
      </c>
      <c r="BO39" s="100">
        <f>48.3*20/100</f>
        <v>9.66</v>
      </c>
      <c r="BP39" s="100">
        <f t="shared" ref="BP39" si="51">BO39*4+BN39*9+BM39*4</f>
        <v>46.76</v>
      </c>
      <c r="BQ39" s="100"/>
      <c r="BR39" s="214"/>
      <c r="BS39" s="103"/>
      <c r="BT39" s="97"/>
      <c r="BU39" s="97" t="s">
        <v>34</v>
      </c>
      <c r="BV39" s="97">
        <v>30</v>
      </c>
      <c r="BW39" s="100">
        <v>2.37</v>
      </c>
      <c r="BX39" s="100">
        <v>0.3</v>
      </c>
      <c r="BY39" s="100">
        <v>14.49</v>
      </c>
      <c r="BZ39" s="100">
        <f t="shared" si="44"/>
        <v>70.14</v>
      </c>
      <c r="CA39" s="100"/>
      <c r="CB39" s="214"/>
      <c r="CC39" s="103"/>
      <c r="CD39" s="97">
        <v>458</v>
      </c>
      <c r="CE39" s="148" t="s">
        <v>157</v>
      </c>
      <c r="CF39" s="96">
        <v>35</v>
      </c>
      <c r="CG39" s="100">
        <v>2.23</v>
      </c>
      <c r="CH39" s="100">
        <v>1.49</v>
      </c>
      <c r="CI39" s="100">
        <v>22.06</v>
      </c>
      <c r="CJ39" s="100">
        <f>CI39*4+CH39*9+CG39*4</f>
        <v>110.57</v>
      </c>
      <c r="CK39" s="100">
        <v>0.04</v>
      </c>
      <c r="CL39" s="214"/>
      <c r="CM39" s="103"/>
      <c r="CN39" s="97">
        <v>401</v>
      </c>
      <c r="CO39" s="148" t="s">
        <v>164</v>
      </c>
      <c r="CP39" s="96">
        <v>200</v>
      </c>
      <c r="CQ39" s="106">
        <v>5.22</v>
      </c>
      <c r="CR39" s="106">
        <v>4.5</v>
      </c>
      <c r="CS39" s="185">
        <v>7.56</v>
      </c>
      <c r="CT39" s="100">
        <f t="shared" si="47"/>
        <v>91.61999999999999</v>
      </c>
      <c r="CU39" s="185">
        <v>0.54</v>
      </c>
      <c r="CV39" s="204"/>
    </row>
    <row r="40" spans="1:162" x14ac:dyDescent="0.35">
      <c r="B40" s="191"/>
      <c r="C40" s="191" t="s">
        <v>240</v>
      </c>
      <c r="D40" s="191">
        <v>25</v>
      </c>
      <c r="E40" s="191">
        <v>1.65</v>
      </c>
      <c r="F40" s="191">
        <v>0.18</v>
      </c>
      <c r="G40" s="192">
        <v>8.5299999999999994</v>
      </c>
      <c r="H40" s="192">
        <v>41.62</v>
      </c>
      <c r="J40" s="204"/>
      <c r="K40" s="103"/>
      <c r="M40" s="144"/>
      <c r="O40" s="145"/>
      <c r="P40" s="145"/>
      <c r="Q40" s="145"/>
      <c r="R40" s="146"/>
      <c r="S40" s="147"/>
      <c r="T40" s="204"/>
      <c r="U40" s="103"/>
      <c r="V40" s="97"/>
      <c r="W40" s="97" t="s">
        <v>34</v>
      </c>
      <c r="X40" s="97">
        <v>30</v>
      </c>
      <c r="Y40" s="100">
        <v>2.37</v>
      </c>
      <c r="Z40" s="100">
        <v>0.3</v>
      </c>
      <c r="AA40" s="100">
        <v>14.49</v>
      </c>
      <c r="AB40" s="100">
        <f t="shared" ref="AB40:AB41" si="52">AA40*4+Z40*9+Y40*4</f>
        <v>70.14</v>
      </c>
      <c r="AC40" s="100"/>
      <c r="AD40" s="204"/>
      <c r="AE40" s="103"/>
      <c r="AF40" s="97"/>
      <c r="AG40" s="97" t="s">
        <v>34</v>
      </c>
      <c r="AH40" s="97">
        <v>30</v>
      </c>
      <c r="AI40" s="100">
        <v>2.37</v>
      </c>
      <c r="AJ40" s="100">
        <v>0.3</v>
      </c>
      <c r="AK40" s="100">
        <v>14.49</v>
      </c>
      <c r="AL40" s="100">
        <f t="shared" si="43"/>
        <v>70.14</v>
      </c>
      <c r="AM40" s="98"/>
      <c r="AN40" s="204"/>
      <c r="AO40" s="103"/>
      <c r="AP40" s="97"/>
      <c r="AQ40" s="97" t="s">
        <v>34</v>
      </c>
      <c r="AR40" s="97">
        <v>40</v>
      </c>
      <c r="AS40" s="100">
        <v>3.16</v>
      </c>
      <c r="AT40" s="100">
        <v>0.4</v>
      </c>
      <c r="AU40" s="100">
        <v>19.32</v>
      </c>
      <c r="AV40" s="100">
        <f t="shared" si="50"/>
        <v>93.52</v>
      </c>
      <c r="AW40" s="100"/>
      <c r="AX40" s="204"/>
      <c r="AY40" s="103"/>
      <c r="AZ40" s="97">
        <v>368</v>
      </c>
      <c r="BA40" s="97" t="s">
        <v>43</v>
      </c>
      <c r="BB40" s="97">
        <v>100</v>
      </c>
      <c r="BC40" s="100">
        <v>0.4</v>
      </c>
      <c r="BD40" s="100">
        <v>0.4</v>
      </c>
      <c r="BE40" s="100">
        <v>9.8000000000000007</v>
      </c>
      <c r="BF40" s="100">
        <f t="shared" ref="BF40" si="53">BE40*4+BD40*9+BC40*4</f>
        <v>44.400000000000006</v>
      </c>
      <c r="BG40" s="100">
        <v>10</v>
      </c>
      <c r="BH40" s="214"/>
      <c r="BI40" s="103"/>
      <c r="BJ40" s="97"/>
      <c r="BK40" s="148"/>
      <c r="BL40" s="131"/>
      <c r="BM40" s="100"/>
      <c r="BN40" s="100"/>
      <c r="BO40" s="100"/>
      <c r="BP40" s="100"/>
      <c r="BQ40" s="100"/>
      <c r="BR40" s="214"/>
      <c r="BS40" s="103"/>
      <c r="BT40" s="97" t="s">
        <v>96</v>
      </c>
      <c r="BU40" s="97" t="s">
        <v>135</v>
      </c>
      <c r="BV40" s="97">
        <v>25</v>
      </c>
      <c r="BW40" s="100">
        <v>2.2000000000000002</v>
      </c>
      <c r="BX40" s="100">
        <v>0.81</v>
      </c>
      <c r="BY40" s="185">
        <v>16</v>
      </c>
      <c r="BZ40" s="185">
        <v>79.97</v>
      </c>
      <c r="CA40" s="100"/>
      <c r="CB40" s="214"/>
      <c r="CC40" s="103"/>
      <c r="CD40" s="97"/>
      <c r="CE40" s="97" t="s">
        <v>34</v>
      </c>
      <c r="CF40" s="97">
        <v>30</v>
      </c>
      <c r="CG40" s="100">
        <v>2.37</v>
      </c>
      <c r="CH40" s="100">
        <v>0.3</v>
      </c>
      <c r="CI40" s="100">
        <v>14.49</v>
      </c>
      <c r="CJ40" s="100">
        <f t="shared" si="49"/>
        <v>70.14</v>
      </c>
      <c r="CK40" s="100"/>
      <c r="CL40" s="214"/>
      <c r="CM40" s="103"/>
      <c r="CN40" s="97"/>
      <c r="CO40" s="97" t="s">
        <v>34</v>
      </c>
      <c r="CP40" s="97">
        <v>20</v>
      </c>
      <c r="CQ40" s="100">
        <f>7.9*20/100</f>
        <v>1.58</v>
      </c>
      <c r="CR40" s="100">
        <f>1*20/100</f>
        <v>0.2</v>
      </c>
      <c r="CS40" s="100">
        <f>48.3*20/100</f>
        <v>9.66</v>
      </c>
      <c r="CT40" s="106">
        <f>CS40*4+CR40*9+CQ40*4</f>
        <v>46.76</v>
      </c>
      <c r="CU40" s="100"/>
      <c r="CV40" s="204"/>
    </row>
    <row r="41" spans="1:162" x14ac:dyDescent="0.35">
      <c r="J41" s="204"/>
      <c r="K41" s="103"/>
      <c r="T41" s="204"/>
      <c r="U41" s="103"/>
      <c r="W41" s="144" t="s">
        <v>43</v>
      </c>
      <c r="X41" s="82">
        <v>50</v>
      </c>
      <c r="Y41" s="145">
        <v>0.2</v>
      </c>
      <c r="Z41" s="145">
        <v>0.2</v>
      </c>
      <c r="AA41" s="145">
        <v>4.9000000000000004</v>
      </c>
      <c r="AB41" s="100">
        <f t="shared" si="52"/>
        <v>22.200000000000003</v>
      </c>
      <c r="AC41" s="147">
        <v>5</v>
      </c>
      <c r="AD41" s="204"/>
      <c r="AE41" s="103"/>
      <c r="AN41" s="204"/>
      <c r="AO41" s="103"/>
      <c r="AQ41" s="103"/>
      <c r="AR41" s="103"/>
      <c r="AS41" s="111"/>
      <c r="AT41" s="111"/>
      <c r="AU41" s="111"/>
      <c r="AV41" s="111"/>
      <c r="AW41" s="111"/>
      <c r="AX41" s="204"/>
      <c r="AY41" s="103"/>
      <c r="BH41" s="214"/>
      <c r="BI41" s="103"/>
      <c r="BR41" s="214"/>
      <c r="BS41" s="103"/>
      <c r="BU41" s="103"/>
      <c r="BV41" s="103"/>
      <c r="BW41" s="111"/>
      <c r="BX41" s="111"/>
      <c r="BY41" s="111"/>
      <c r="BZ41" s="111"/>
      <c r="CA41" s="111"/>
      <c r="CB41" s="214"/>
      <c r="CC41" s="103"/>
      <c r="CD41" s="97">
        <v>368</v>
      </c>
      <c r="CE41" s="97" t="s">
        <v>43</v>
      </c>
      <c r="CF41" s="97">
        <v>100</v>
      </c>
      <c r="CG41" s="100">
        <v>0.4</v>
      </c>
      <c r="CH41" s="100">
        <v>0.4</v>
      </c>
      <c r="CI41" s="100">
        <v>9.8000000000000007</v>
      </c>
      <c r="CJ41" s="94">
        <f>CI41*4+CH41*9+CG41*4</f>
        <v>44.400000000000006</v>
      </c>
      <c r="CK41" s="100">
        <v>10</v>
      </c>
      <c r="CL41" s="214"/>
      <c r="CM41" s="103"/>
      <c r="CN41" s="97">
        <v>368</v>
      </c>
      <c r="CO41" s="97" t="s">
        <v>43</v>
      </c>
      <c r="CP41" s="97">
        <v>100</v>
      </c>
      <c r="CQ41" s="100">
        <v>0.4</v>
      </c>
      <c r="CR41" s="100">
        <v>0.4</v>
      </c>
      <c r="CS41" s="100">
        <v>9.8000000000000007</v>
      </c>
      <c r="CT41" s="94">
        <f>CS41*4+CR41*9+CQ41*4</f>
        <v>44.400000000000006</v>
      </c>
      <c r="CU41" s="100">
        <v>10</v>
      </c>
      <c r="CV41" s="204"/>
    </row>
    <row r="42" spans="1:162" x14ac:dyDescent="0.35">
      <c r="A42" s="113" t="s">
        <v>33</v>
      </c>
      <c r="B42" s="115"/>
      <c r="C42" s="113"/>
      <c r="D42" s="113">
        <f t="shared" ref="D42:I42" si="54">SUM(D35:D41)</f>
        <v>555</v>
      </c>
      <c r="E42" s="113">
        <f t="shared" si="54"/>
        <v>28.548888888888882</v>
      </c>
      <c r="F42" s="113">
        <f t="shared" si="54"/>
        <v>25.142222222222223</v>
      </c>
      <c r="G42" s="113">
        <f t="shared" si="54"/>
        <v>70.55</v>
      </c>
      <c r="H42" s="113">
        <f t="shared" si="54"/>
        <v>641.25000000000011</v>
      </c>
      <c r="I42" s="113">
        <f t="shared" si="54"/>
        <v>12.763333333333334</v>
      </c>
      <c r="J42" s="204"/>
      <c r="K42" s="115" t="s">
        <v>33</v>
      </c>
      <c r="L42" s="115"/>
      <c r="M42" s="115"/>
      <c r="N42" s="121">
        <f t="shared" ref="N42:S42" si="55">SUM(N35:N41)</f>
        <v>457</v>
      </c>
      <c r="O42" s="121">
        <f t="shared" si="55"/>
        <v>21.350933333333334</v>
      </c>
      <c r="P42" s="121">
        <f t="shared" si="55"/>
        <v>17.933733333333333</v>
      </c>
      <c r="Q42" s="121">
        <f t="shared" si="55"/>
        <v>56.724933333333333</v>
      </c>
      <c r="R42" s="121">
        <f t="shared" si="55"/>
        <v>473.73706666666664</v>
      </c>
      <c r="S42" s="121">
        <f t="shared" si="55"/>
        <v>11.078533333333333</v>
      </c>
      <c r="T42" s="204"/>
      <c r="U42" s="115" t="s">
        <v>33</v>
      </c>
      <c r="V42" s="115"/>
      <c r="W42" s="115"/>
      <c r="X42" s="115">
        <f>SUM(X35:X41)</f>
        <v>555</v>
      </c>
      <c r="Y42" s="115">
        <f>SUM(Y23:Y41)</f>
        <v>103.21639999999999</v>
      </c>
      <c r="Z42" s="115">
        <f>SUM(Z23:Z41)</f>
        <v>87.39</v>
      </c>
      <c r="AA42" s="115">
        <f>SUM(AA23:AA41)</f>
        <v>339.3</v>
      </c>
      <c r="AB42" s="115">
        <f>SUM(AB23:AB41)</f>
        <v>2557.62</v>
      </c>
      <c r="AC42" s="115">
        <f>SUM(AC23:AC41)</f>
        <v>52.673399999999994</v>
      </c>
      <c r="AD42" s="204"/>
      <c r="AE42" s="115" t="s">
        <v>33</v>
      </c>
      <c r="AF42" s="115"/>
      <c r="AG42" s="115"/>
      <c r="AH42" s="121">
        <f t="shared" ref="AH42:AM42" si="56">SUM(AH36:AH40)</f>
        <v>445</v>
      </c>
      <c r="AI42" s="121">
        <f t="shared" si="56"/>
        <v>33.998000000000005</v>
      </c>
      <c r="AJ42" s="121">
        <f t="shared" si="56"/>
        <v>26.251999999999995</v>
      </c>
      <c r="AK42" s="121">
        <f t="shared" si="56"/>
        <v>99.474000000000004</v>
      </c>
      <c r="AL42" s="121">
        <f t="shared" si="56"/>
        <v>770.00599999999997</v>
      </c>
      <c r="AM42" s="121">
        <f t="shared" si="56"/>
        <v>4.6630000000000003</v>
      </c>
      <c r="AN42" s="204"/>
      <c r="AO42" s="115" t="s">
        <v>33</v>
      </c>
      <c r="AP42" s="115"/>
      <c r="AQ42" s="115"/>
      <c r="AR42" s="121">
        <f>SUM(AR35:AR41)</f>
        <v>515</v>
      </c>
      <c r="AS42" s="121">
        <f t="shared" ref="AS42:AW42" si="57">SUM(AS35:AS41)</f>
        <v>22.641999999999999</v>
      </c>
      <c r="AT42" s="121">
        <f t="shared" si="57"/>
        <v>20.915999999999997</v>
      </c>
      <c r="AU42" s="121">
        <f t="shared" si="57"/>
        <v>81.746000000000009</v>
      </c>
      <c r="AV42" s="121">
        <f t="shared" si="57"/>
        <v>605.77600000000007</v>
      </c>
      <c r="AW42" s="121">
        <f t="shared" si="57"/>
        <v>11.849999999999998</v>
      </c>
      <c r="AX42" s="204"/>
      <c r="AY42" s="115" t="s">
        <v>33</v>
      </c>
      <c r="AZ42" s="115"/>
      <c r="BA42" s="115"/>
      <c r="BB42" s="121">
        <f t="shared" ref="BB42:BG42" si="58">SUM(BB35:BB40)</f>
        <v>497</v>
      </c>
      <c r="BC42" s="121">
        <f t="shared" si="58"/>
        <v>12.01</v>
      </c>
      <c r="BD42" s="121">
        <f t="shared" si="58"/>
        <v>21.689999999999998</v>
      </c>
      <c r="BE42" s="121">
        <f t="shared" si="58"/>
        <v>97.17</v>
      </c>
      <c r="BF42" s="121">
        <f t="shared" si="58"/>
        <v>673.75</v>
      </c>
      <c r="BG42" s="121">
        <f t="shared" si="58"/>
        <v>26.3</v>
      </c>
      <c r="BH42" s="214"/>
      <c r="BI42" s="115" t="s">
        <v>33</v>
      </c>
      <c r="BJ42" s="115"/>
      <c r="BK42" s="115"/>
      <c r="BL42" s="121">
        <f>SUM(BL35:BL40)</f>
        <v>440</v>
      </c>
      <c r="BM42" s="121">
        <f>SUM(BM36:BM41)</f>
        <v>27.488888888888887</v>
      </c>
      <c r="BN42" s="121">
        <f>SUM(BN36:BN41)</f>
        <v>19.632222222222222</v>
      </c>
      <c r="BO42" s="121">
        <f>SUM(BO36:BO41)</f>
        <v>61.760000000000005</v>
      </c>
      <c r="BP42" s="121">
        <f>SUM(BP36:BP41)</f>
        <v>589.37</v>
      </c>
      <c r="BQ42" s="121">
        <f>SUM(BQ36:BQ41)</f>
        <v>3.6933333333333334</v>
      </c>
      <c r="BR42" s="214"/>
      <c r="BS42" s="115" t="s">
        <v>33</v>
      </c>
      <c r="BT42" s="115"/>
      <c r="BU42" s="115"/>
      <c r="BV42" s="115">
        <f>SUM(BV35:BV41)</f>
        <v>545</v>
      </c>
      <c r="BW42" s="121">
        <f>SUM(BW35:BW41)</f>
        <v>19.076666666666668</v>
      </c>
      <c r="BX42" s="115">
        <f t="shared" ref="BX42:CA42" si="59">SUM(BX35:BX41)</f>
        <v>20.646666666666665</v>
      </c>
      <c r="BY42" s="115">
        <f t="shared" si="59"/>
        <v>62.56666666666667</v>
      </c>
      <c r="BZ42" s="115">
        <f t="shared" si="59"/>
        <v>512.27333333333331</v>
      </c>
      <c r="CA42" s="115">
        <f t="shared" si="59"/>
        <v>20.7</v>
      </c>
      <c r="CB42" s="214"/>
      <c r="CC42" s="115" t="s">
        <v>33</v>
      </c>
      <c r="CD42" s="115"/>
      <c r="CE42" s="115"/>
      <c r="CF42" s="121">
        <f>SUM(CF35:CF41)</f>
        <v>605</v>
      </c>
      <c r="CG42" s="121">
        <f t="shared" ref="CG42:CK42" si="60">SUM(CG35:CG40)</f>
        <v>21.62</v>
      </c>
      <c r="CH42" s="121">
        <f t="shared" si="60"/>
        <v>19.25</v>
      </c>
      <c r="CI42" s="121">
        <f t="shared" si="60"/>
        <v>81.61999999999999</v>
      </c>
      <c r="CJ42" s="121">
        <f t="shared" si="60"/>
        <v>586.59</v>
      </c>
      <c r="CK42" s="121">
        <f t="shared" si="60"/>
        <v>19.509999999999998</v>
      </c>
      <c r="CL42" s="214"/>
      <c r="CM42" s="115" t="s">
        <v>33</v>
      </c>
      <c r="CN42" s="115"/>
      <c r="CO42" s="115"/>
      <c r="CP42" s="121">
        <f>SUM(CP35:CP41)</f>
        <v>610</v>
      </c>
      <c r="CQ42" s="121">
        <f>SUM(AI36:AI40)</f>
        <v>33.998000000000005</v>
      </c>
      <c r="CR42" s="121">
        <f>SUM(AJ36:AJ40)</f>
        <v>26.251999999999995</v>
      </c>
      <c r="CS42" s="121">
        <f>SUM(AK36:AK40)</f>
        <v>99.474000000000004</v>
      </c>
      <c r="CT42" s="121">
        <f>SUM(AL36:AL40)</f>
        <v>770.00599999999997</v>
      </c>
      <c r="CU42" s="121">
        <f>SUM(AM36:AM40)</f>
        <v>4.6630000000000003</v>
      </c>
      <c r="CV42" s="204"/>
    </row>
    <row r="43" spans="1:162" x14ac:dyDescent="0.35">
      <c r="A43" s="113" t="s">
        <v>30</v>
      </c>
      <c r="B43" s="115"/>
      <c r="C43" s="113"/>
      <c r="D43" s="113" t="s">
        <v>38</v>
      </c>
      <c r="E43" s="129">
        <v>18.899999999999999</v>
      </c>
      <c r="F43" s="129">
        <v>21</v>
      </c>
      <c r="G43" s="129">
        <v>91.35</v>
      </c>
      <c r="H43" s="129">
        <v>630</v>
      </c>
      <c r="I43" s="129"/>
      <c r="J43" s="204"/>
      <c r="K43" s="115" t="s">
        <v>30</v>
      </c>
      <c r="L43" s="115"/>
      <c r="M43" s="115"/>
      <c r="N43" s="115" t="s">
        <v>38</v>
      </c>
      <c r="O43" s="121">
        <v>18.899999999999999</v>
      </c>
      <c r="P43" s="121">
        <v>21</v>
      </c>
      <c r="Q43" s="121">
        <v>91.35</v>
      </c>
      <c r="R43" s="121">
        <v>630</v>
      </c>
      <c r="S43" s="121"/>
      <c r="T43" s="204"/>
      <c r="U43" s="115" t="s">
        <v>30</v>
      </c>
      <c r="V43" s="115"/>
      <c r="W43" s="115"/>
      <c r="X43" s="115" t="s">
        <v>38</v>
      </c>
      <c r="Y43" s="121">
        <v>18.899999999999999</v>
      </c>
      <c r="Z43" s="121">
        <v>21</v>
      </c>
      <c r="AA43" s="121">
        <v>91.35</v>
      </c>
      <c r="AB43" s="121">
        <v>630</v>
      </c>
      <c r="AC43" s="121"/>
      <c r="AD43" s="204"/>
      <c r="AE43" s="115" t="s">
        <v>30</v>
      </c>
      <c r="AF43" s="115"/>
      <c r="AG43" s="115"/>
      <c r="AH43" s="115" t="s">
        <v>38</v>
      </c>
      <c r="AI43" s="121">
        <v>18.899999999999999</v>
      </c>
      <c r="AJ43" s="121">
        <v>21</v>
      </c>
      <c r="AK43" s="121">
        <v>91.35</v>
      </c>
      <c r="AL43" s="121">
        <v>630</v>
      </c>
      <c r="AM43" s="121"/>
      <c r="AN43" s="204"/>
      <c r="AO43" s="115" t="s">
        <v>30</v>
      </c>
      <c r="AP43" s="115"/>
      <c r="AQ43" s="115"/>
      <c r="AR43" s="115" t="s">
        <v>38</v>
      </c>
      <c r="AS43" s="121">
        <v>18.899999999999999</v>
      </c>
      <c r="AT43" s="121">
        <v>21</v>
      </c>
      <c r="AU43" s="121">
        <v>91.35</v>
      </c>
      <c r="AV43" s="121">
        <v>630</v>
      </c>
      <c r="AW43" s="121"/>
      <c r="AX43" s="204"/>
      <c r="AY43" s="115" t="s">
        <v>30</v>
      </c>
      <c r="AZ43" s="115"/>
      <c r="BA43" s="115"/>
      <c r="BB43" s="115" t="s">
        <v>38</v>
      </c>
      <c r="BC43" s="121">
        <v>18.899999999999999</v>
      </c>
      <c r="BD43" s="121">
        <v>21</v>
      </c>
      <c r="BE43" s="121">
        <v>91.35</v>
      </c>
      <c r="BF43" s="121">
        <v>630</v>
      </c>
      <c r="BG43" s="121"/>
      <c r="BH43" s="214"/>
      <c r="BI43" s="115" t="s">
        <v>30</v>
      </c>
      <c r="BJ43" s="115"/>
      <c r="BK43" s="115"/>
      <c r="BL43" s="115" t="s">
        <v>38</v>
      </c>
      <c r="BM43" s="121">
        <v>18.899999999999999</v>
      </c>
      <c r="BN43" s="121">
        <v>21</v>
      </c>
      <c r="BO43" s="121">
        <v>91.35</v>
      </c>
      <c r="BP43" s="121">
        <v>630</v>
      </c>
      <c r="BQ43" s="121"/>
      <c r="BR43" s="214"/>
      <c r="BS43" s="115" t="s">
        <v>30</v>
      </c>
      <c r="BT43" s="115"/>
      <c r="BU43" s="115"/>
      <c r="BV43" s="115" t="s">
        <v>38</v>
      </c>
      <c r="BW43" s="121">
        <v>18.899999999999999</v>
      </c>
      <c r="BX43" s="121">
        <v>21</v>
      </c>
      <c r="BY43" s="121">
        <v>91.35</v>
      </c>
      <c r="BZ43" s="121">
        <v>630</v>
      </c>
      <c r="CA43" s="121"/>
      <c r="CB43" s="214"/>
      <c r="CC43" s="115" t="s">
        <v>30</v>
      </c>
      <c r="CD43" s="115"/>
      <c r="CE43" s="115"/>
      <c r="CF43" s="115" t="s">
        <v>38</v>
      </c>
      <c r="CG43" s="121">
        <v>18.899999999999999</v>
      </c>
      <c r="CH43" s="121">
        <v>21</v>
      </c>
      <c r="CI43" s="121">
        <v>91.35</v>
      </c>
      <c r="CJ43" s="121">
        <v>630</v>
      </c>
      <c r="CK43" s="121"/>
      <c r="CL43" s="214"/>
      <c r="CM43" s="115" t="s">
        <v>30</v>
      </c>
      <c r="CN43" s="115"/>
      <c r="CO43" s="115"/>
      <c r="CP43" s="115" t="s">
        <v>38</v>
      </c>
      <c r="CQ43" s="121">
        <v>18.899999999999999</v>
      </c>
      <c r="CR43" s="121">
        <v>21</v>
      </c>
      <c r="CS43" s="121">
        <v>91.35</v>
      </c>
      <c r="CT43" s="121">
        <v>630</v>
      </c>
      <c r="CU43" s="121"/>
      <c r="CV43" s="204"/>
    </row>
    <row r="44" spans="1:162" x14ac:dyDescent="0.35">
      <c r="J44" s="204"/>
      <c r="K44" s="103"/>
      <c r="M44" s="103"/>
      <c r="N44" s="103"/>
      <c r="O44" s="103"/>
      <c r="P44" s="103"/>
      <c r="Q44" s="110"/>
      <c r="R44" s="110"/>
      <c r="S44" s="103"/>
      <c r="T44" s="204"/>
      <c r="U44" s="103"/>
      <c r="W44" s="103"/>
      <c r="X44" s="103"/>
      <c r="Y44" s="103"/>
      <c r="Z44" s="103"/>
      <c r="AA44" s="110"/>
      <c r="AB44" s="110"/>
      <c r="AC44" s="103"/>
      <c r="AD44" s="204"/>
      <c r="AE44" s="103"/>
      <c r="AG44" s="103"/>
      <c r="AH44" s="103"/>
      <c r="AI44" s="103"/>
      <c r="AJ44" s="103"/>
      <c r="AK44" s="110"/>
      <c r="AL44" s="110"/>
      <c r="AM44" s="103"/>
      <c r="AN44" s="204"/>
      <c r="AO44" s="103"/>
      <c r="AQ44" s="103"/>
      <c r="AR44" s="103"/>
      <c r="AS44" s="103"/>
      <c r="AT44" s="103"/>
      <c r="AU44" s="110"/>
      <c r="AV44" s="110"/>
      <c r="AW44" s="103"/>
      <c r="AX44" s="204"/>
      <c r="AY44" s="103"/>
      <c r="BA44" s="103"/>
      <c r="BB44" s="103"/>
      <c r="BC44" s="103"/>
      <c r="BD44" s="103"/>
      <c r="BE44" s="103"/>
      <c r="BF44" s="103"/>
      <c r="BG44" s="103"/>
      <c r="BH44" s="214"/>
      <c r="BI44" s="103"/>
      <c r="BK44" s="103"/>
      <c r="BL44" s="103"/>
      <c r="BM44" s="103"/>
      <c r="BN44" s="103"/>
      <c r="BO44" s="103"/>
      <c r="BP44" s="103"/>
      <c r="BQ44" s="103"/>
      <c r="BR44" s="214"/>
      <c r="BS44" s="103"/>
      <c r="BU44" s="103"/>
      <c r="BV44" s="103"/>
      <c r="BW44" s="103"/>
      <c r="BX44" s="103"/>
      <c r="BY44" s="110"/>
      <c r="BZ44" s="110"/>
      <c r="CA44" s="103"/>
      <c r="CB44" s="214"/>
      <c r="CC44" s="103"/>
      <c r="CE44" s="103"/>
      <c r="CF44" s="103"/>
      <c r="CG44" s="103"/>
      <c r="CH44" s="103"/>
      <c r="CI44" s="110"/>
      <c r="CJ44" s="110"/>
      <c r="CK44" s="103"/>
      <c r="CL44" s="214"/>
      <c r="CM44" s="103"/>
      <c r="CO44" s="103"/>
      <c r="CP44" s="103"/>
      <c r="CQ44" s="103"/>
      <c r="CR44" s="103"/>
      <c r="CS44" s="110"/>
      <c r="CT44" s="110"/>
      <c r="CU44" s="103"/>
      <c r="CV44" s="204"/>
    </row>
    <row r="45" spans="1:162" x14ac:dyDescent="0.35">
      <c r="A45" s="87" t="s">
        <v>37</v>
      </c>
      <c r="B45" s="89"/>
      <c r="C45" s="87"/>
      <c r="D45" s="87"/>
      <c r="E45" s="88">
        <f>E42+E31+E19+E12</f>
        <v>98.276888888888877</v>
      </c>
      <c r="F45" s="88">
        <f>F42+F31+F19+F12</f>
        <v>78.68302222222222</v>
      </c>
      <c r="G45" s="88">
        <f>G42+G31+G19+G12</f>
        <v>293.25</v>
      </c>
      <c r="H45" s="88">
        <f>H42+H31+H19+H12</f>
        <v>2296.4292</v>
      </c>
      <c r="I45" s="88">
        <f>I42+I31+I19+I12</f>
        <v>35.685333333333332</v>
      </c>
      <c r="J45" s="204"/>
      <c r="K45" s="89" t="s">
        <v>37</v>
      </c>
      <c r="L45" s="89"/>
      <c r="M45" s="89"/>
      <c r="N45" s="89"/>
      <c r="O45" s="90">
        <f>O42+O31+O19+O12</f>
        <v>78.915933333333328</v>
      </c>
      <c r="P45" s="90">
        <f>P42+P31+P19+P12</f>
        <v>75.923333333333318</v>
      </c>
      <c r="Q45" s="90">
        <f>Q42+Q31+Q19+Q12</f>
        <v>214.35693333333333</v>
      </c>
      <c r="R45" s="90">
        <f>R42+R31+R19+R12</f>
        <v>1856.6314666666665</v>
      </c>
      <c r="S45" s="90">
        <f>S42+S31+S19+S12</f>
        <v>57.458533333333328</v>
      </c>
      <c r="T45" s="204"/>
      <c r="U45" s="89" t="s">
        <v>37</v>
      </c>
      <c r="V45" s="89"/>
      <c r="W45" s="89"/>
      <c r="X45" s="89"/>
      <c r="Y45" s="90">
        <f>Y42+Y31+Y19+Y12</f>
        <v>170.74459999999996</v>
      </c>
      <c r="Z45" s="90">
        <f>Z42+Z31+Z19+Z12</f>
        <v>144.9</v>
      </c>
      <c r="AA45" s="90">
        <f>AA42+AA31+AA19+AA12</f>
        <v>508.14</v>
      </c>
      <c r="AB45" s="90">
        <f>AB42+AB31+AB19+AB12</f>
        <v>4024.2</v>
      </c>
      <c r="AC45" s="90">
        <f>AC42+AC31+AC19+AC12</f>
        <v>66.977599999999995</v>
      </c>
      <c r="AD45" s="204"/>
      <c r="AE45" s="89" t="s">
        <v>37</v>
      </c>
      <c r="AF45" s="89"/>
      <c r="AG45" s="89"/>
      <c r="AH45" s="89"/>
      <c r="AI45" s="90">
        <f>AI42+AI31+AI19+AI12</f>
        <v>75.496000000000009</v>
      </c>
      <c r="AJ45" s="90">
        <f t="shared" ref="AJ45:AM45" si="61">AJ42+AJ31+AJ19+AJ12</f>
        <v>64.569999999999993</v>
      </c>
      <c r="AK45" s="90">
        <f t="shared" si="61"/>
        <v>271.64400000000001</v>
      </c>
      <c r="AL45" s="90">
        <f t="shared" si="61"/>
        <v>1924.3879999999999</v>
      </c>
      <c r="AM45" s="90">
        <f t="shared" si="61"/>
        <v>177.303</v>
      </c>
      <c r="AN45" s="204"/>
      <c r="AO45" s="89" t="s">
        <v>37</v>
      </c>
      <c r="AP45" s="89"/>
      <c r="AQ45" s="89"/>
      <c r="AR45" s="89"/>
      <c r="AS45" s="90">
        <f>AS42+AS31+AS19+AS12</f>
        <v>70.50200000000001</v>
      </c>
      <c r="AT45" s="90">
        <f t="shared" ref="AT45:AW45" si="62">AT42+AT31+AT19+AT12</f>
        <v>58.045999999999992</v>
      </c>
      <c r="AU45" s="90">
        <f t="shared" si="62"/>
        <v>263.02600000000007</v>
      </c>
      <c r="AV45" s="90">
        <f t="shared" si="62"/>
        <v>1859.6559999999999</v>
      </c>
      <c r="AW45" s="90">
        <f t="shared" si="62"/>
        <v>202.01</v>
      </c>
      <c r="AX45" s="204"/>
      <c r="AY45" s="89" t="s">
        <v>37</v>
      </c>
      <c r="AZ45" s="89"/>
      <c r="BA45" s="89"/>
      <c r="BB45" s="89"/>
      <c r="BC45" s="90">
        <f>BC42+BC31+BC19+BC12</f>
        <v>70.633870967741942</v>
      </c>
      <c r="BD45" s="90">
        <f t="shared" ref="BD45:BF45" si="63">BD42+BD31+BD19+BD12</f>
        <v>71.628709677419351</v>
      </c>
      <c r="BE45" s="90">
        <f t="shared" si="63"/>
        <v>291.27712903225807</v>
      </c>
      <c r="BF45" s="90">
        <f t="shared" si="63"/>
        <v>2104.458387096774</v>
      </c>
      <c r="BG45" s="90"/>
      <c r="BH45" s="214"/>
      <c r="BI45" s="89" t="s">
        <v>37</v>
      </c>
      <c r="BJ45" s="89"/>
      <c r="BK45" s="89"/>
      <c r="BL45" s="89"/>
      <c r="BM45" s="90">
        <f>BM42+BM31+BM19+BM12</f>
        <v>68.998888888888885</v>
      </c>
      <c r="BN45" s="90">
        <f t="shared" ref="BN45:BP45" si="64">BN42+BN31+BN19+BN12</f>
        <v>49.650222222222226</v>
      </c>
      <c r="BO45" s="90">
        <f t="shared" si="64"/>
        <v>228.93</v>
      </c>
      <c r="BP45" s="90">
        <f t="shared" si="64"/>
        <v>1706.6219999999998</v>
      </c>
      <c r="BQ45" s="90"/>
      <c r="BR45" s="214"/>
      <c r="BS45" s="89" t="s">
        <v>37</v>
      </c>
      <c r="BT45" s="89"/>
      <c r="BU45" s="89"/>
      <c r="BV45" s="89"/>
      <c r="BW45" s="90">
        <f>BW42+BW31+BW19+BW12</f>
        <v>61.874866666666676</v>
      </c>
      <c r="BX45" s="90">
        <f>BX42+BX31+BX19+BX12</f>
        <v>52.991666666666667</v>
      </c>
      <c r="BY45" s="90">
        <f>BY42+BY31+BY19+BY12</f>
        <v>253.57666666666665</v>
      </c>
      <c r="BZ45" s="90">
        <f>BZ42+BZ31+BZ19+BZ12</f>
        <v>1742.6733333333334</v>
      </c>
      <c r="CA45" s="90">
        <f>CA42+CA31+CA19+CA12</f>
        <v>68.644199999999998</v>
      </c>
      <c r="CB45" s="214"/>
      <c r="CC45" s="89" t="s">
        <v>37</v>
      </c>
      <c r="CD45" s="89"/>
      <c r="CE45" s="89"/>
      <c r="CF45" s="89"/>
      <c r="CG45" s="90">
        <f>CG42+CG31+CG19+CG12</f>
        <v>56.106666666666676</v>
      </c>
      <c r="CH45" s="90">
        <f>CH42+CH31+CH19+CH12</f>
        <v>60.239999999999995</v>
      </c>
      <c r="CI45" s="90">
        <f>CI42+CI31+CI19+CI12</f>
        <v>271.04466666666667</v>
      </c>
      <c r="CJ45" s="90">
        <f>CJ42+CJ31+CJ19+CJ12</f>
        <v>1821.2433333333333</v>
      </c>
      <c r="CK45" s="90">
        <f>CK42+CK31+CK19+CK12</f>
        <v>58.85</v>
      </c>
      <c r="CL45" s="214"/>
      <c r="CM45" s="89" t="s">
        <v>37</v>
      </c>
      <c r="CN45" s="89"/>
      <c r="CO45" s="89"/>
      <c r="CP45" s="89"/>
      <c r="CQ45" s="90">
        <f>CQ42+CQ31+CQ19+CQ12</f>
        <v>84.346800000000002</v>
      </c>
      <c r="CR45" s="90">
        <f>CR42+CR31+CR19+CR12</f>
        <v>73.247599999999991</v>
      </c>
      <c r="CS45" s="90">
        <f>CS42+CS31+CS19+CS12</f>
        <v>289.81060000000002</v>
      </c>
      <c r="CT45" s="90">
        <f>CT42+CT31+CT19+CT12</f>
        <v>2154.0480000000002</v>
      </c>
      <c r="CU45" s="90">
        <f>CU42+CU31+CU19+CU12</f>
        <v>45.0244</v>
      </c>
      <c r="CV45" s="204"/>
    </row>
    <row r="46" spans="1:162" x14ac:dyDescent="0.35">
      <c r="A46" s="87" t="s">
        <v>30</v>
      </c>
      <c r="B46" s="89"/>
      <c r="C46" s="87"/>
      <c r="D46" s="87"/>
      <c r="E46" s="88">
        <v>54</v>
      </c>
      <c r="F46" s="88">
        <v>60</v>
      </c>
      <c r="G46" s="88">
        <v>261</v>
      </c>
      <c r="H46" s="88">
        <v>1800</v>
      </c>
      <c r="I46" s="88"/>
      <c r="J46" s="204"/>
      <c r="K46" s="89" t="s">
        <v>30</v>
      </c>
      <c r="L46" s="89"/>
      <c r="M46" s="89"/>
      <c r="N46" s="89"/>
      <c r="O46" s="90">
        <v>54</v>
      </c>
      <c r="P46" s="90">
        <v>60</v>
      </c>
      <c r="Q46" s="90">
        <v>261</v>
      </c>
      <c r="R46" s="90">
        <v>1800</v>
      </c>
      <c r="S46" s="90"/>
      <c r="T46" s="204"/>
      <c r="U46" s="89" t="s">
        <v>30</v>
      </c>
      <c r="V46" s="89"/>
      <c r="W46" s="89"/>
      <c r="X46" s="89"/>
      <c r="Y46" s="90">
        <v>54</v>
      </c>
      <c r="Z46" s="90">
        <v>60</v>
      </c>
      <c r="AA46" s="90">
        <v>261</v>
      </c>
      <c r="AB46" s="90">
        <v>1800</v>
      </c>
      <c r="AC46" s="90"/>
      <c r="AD46" s="204"/>
      <c r="AE46" s="89" t="s">
        <v>30</v>
      </c>
      <c r="AF46" s="89"/>
      <c r="AG46" s="89"/>
      <c r="AH46" s="89"/>
      <c r="AI46" s="90">
        <v>54</v>
      </c>
      <c r="AJ46" s="90">
        <v>60</v>
      </c>
      <c r="AK46" s="90">
        <v>261</v>
      </c>
      <c r="AL46" s="90">
        <v>1800</v>
      </c>
      <c r="AM46" s="90"/>
      <c r="AN46" s="204"/>
      <c r="AO46" s="89" t="s">
        <v>30</v>
      </c>
      <c r="AP46" s="89"/>
      <c r="AQ46" s="89"/>
      <c r="AR46" s="89"/>
      <c r="AS46" s="90">
        <v>54</v>
      </c>
      <c r="AT46" s="90">
        <v>60</v>
      </c>
      <c r="AU46" s="90">
        <v>261</v>
      </c>
      <c r="AV46" s="90">
        <v>1800</v>
      </c>
      <c r="AW46" s="90"/>
      <c r="AX46" s="204"/>
      <c r="AY46" s="89" t="s">
        <v>30</v>
      </c>
      <c r="AZ46" s="89"/>
      <c r="BA46" s="89"/>
      <c r="BB46" s="89"/>
      <c r="BC46" s="90">
        <v>54</v>
      </c>
      <c r="BD46" s="90">
        <v>60</v>
      </c>
      <c r="BE46" s="90">
        <v>261</v>
      </c>
      <c r="BF46" s="90">
        <v>1800</v>
      </c>
      <c r="BG46" s="90"/>
      <c r="BH46" s="214"/>
      <c r="BI46" s="89" t="s">
        <v>30</v>
      </c>
      <c r="BJ46" s="89"/>
      <c r="BK46" s="89"/>
      <c r="BL46" s="89"/>
      <c r="BM46" s="90">
        <v>54</v>
      </c>
      <c r="BN46" s="90">
        <v>60</v>
      </c>
      <c r="BO46" s="90">
        <v>261</v>
      </c>
      <c r="BP46" s="90">
        <v>1800</v>
      </c>
      <c r="BQ46" s="90"/>
      <c r="BR46" s="214"/>
      <c r="BS46" s="89" t="s">
        <v>30</v>
      </c>
      <c r="BT46" s="89"/>
      <c r="BU46" s="89"/>
      <c r="BV46" s="89"/>
      <c r="BW46" s="90">
        <v>54</v>
      </c>
      <c r="BX46" s="90">
        <v>60</v>
      </c>
      <c r="BY46" s="90">
        <v>261</v>
      </c>
      <c r="BZ46" s="90">
        <v>1800</v>
      </c>
      <c r="CA46" s="90"/>
      <c r="CB46" s="214"/>
      <c r="CC46" s="89" t="s">
        <v>30</v>
      </c>
      <c r="CD46" s="89"/>
      <c r="CE46" s="89"/>
      <c r="CF46" s="89"/>
      <c r="CG46" s="90">
        <v>54</v>
      </c>
      <c r="CH46" s="90">
        <v>60</v>
      </c>
      <c r="CI46" s="90">
        <v>261</v>
      </c>
      <c r="CJ46" s="90">
        <v>1800</v>
      </c>
      <c r="CK46" s="90"/>
      <c r="CL46" s="214"/>
      <c r="CM46" s="89" t="s">
        <v>30</v>
      </c>
      <c r="CN46" s="89"/>
      <c r="CO46" s="89"/>
      <c r="CP46" s="89"/>
      <c r="CQ46" s="90">
        <v>54</v>
      </c>
      <c r="CR46" s="90">
        <v>60</v>
      </c>
      <c r="CS46" s="90">
        <v>261</v>
      </c>
      <c r="CT46" s="90">
        <v>1800</v>
      </c>
      <c r="CU46" s="90"/>
      <c r="CV46" s="204"/>
    </row>
    <row r="47" spans="1:162" x14ac:dyDescent="0.35">
      <c r="J47" s="204"/>
      <c r="T47" s="204"/>
      <c r="AD47" s="204"/>
      <c r="AI47" s="125"/>
      <c r="AN47" s="204"/>
      <c r="AX47" s="204"/>
      <c r="BH47" s="214"/>
      <c r="BR47" s="214"/>
      <c r="CB47" s="214"/>
      <c r="CL47" s="214"/>
      <c r="CV47" s="204"/>
    </row>
  </sheetData>
  <mergeCells count="117">
    <mergeCell ref="CG1:CI1"/>
    <mergeCell ref="CJ1:CJ2"/>
    <mergeCell ref="CK1:CK2"/>
    <mergeCell ref="CL1:CL1048576"/>
    <mergeCell ref="BV1:BV2"/>
    <mergeCell ref="BW1:BY1"/>
    <mergeCell ref="BZ1:BZ2"/>
    <mergeCell ref="CA1:CA2"/>
    <mergeCell ref="CC1:CC2"/>
    <mergeCell ref="CB1:CB1048576"/>
    <mergeCell ref="CD1:CD2"/>
    <mergeCell ref="CE1:CE2"/>
    <mergeCell ref="CF1:CF2"/>
    <mergeCell ref="CC4:CK4"/>
    <mergeCell ref="CC15:CK15"/>
    <mergeCell ref="CC22:CK22"/>
    <mergeCell ref="CC34:CK34"/>
    <mergeCell ref="X1:X2"/>
    <mergeCell ref="Y1:AA1"/>
    <mergeCell ref="AB1:AB2"/>
    <mergeCell ref="AC1:AC2"/>
    <mergeCell ref="AE1:AE2"/>
    <mergeCell ref="AM1:AM2"/>
    <mergeCell ref="AF1:AF2"/>
    <mergeCell ref="AG1:AG2"/>
    <mergeCell ref="AH1:AH2"/>
    <mergeCell ref="AI1:AK1"/>
    <mergeCell ref="AL1:AL2"/>
    <mergeCell ref="K4:S4"/>
    <mergeCell ref="K15:S15"/>
    <mergeCell ref="K22:S22"/>
    <mergeCell ref="K34:S34"/>
    <mergeCell ref="T1:T1048576"/>
    <mergeCell ref="A4:I4"/>
    <mergeCell ref="A15:I15"/>
    <mergeCell ref="A22:I22"/>
    <mergeCell ref="A34:I34"/>
    <mergeCell ref="J1:J1048576"/>
    <mergeCell ref="A1:A2"/>
    <mergeCell ref="E1:G1"/>
    <mergeCell ref="H1:H2"/>
    <mergeCell ref="I1:I2"/>
    <mergeCell ref="B1:B2"/>
    <mergeCell ref="C1:C2"/>
    <mergeCell ref="D1:D2"/>
    <mergeCell ref="K1:K2"/>
    <mergeCell ref="L1:L2"/>
    <mergeCell ref="M1:M2"/>
    <mergeCell ref="N1:N2"/>
    <mergeCell ref="O1:Q1"/>
    <mergeCell ref="R1:R2"/>
    <mergeCell ref="S1:S2"/>
    <mergeCell ref="BH1:BH1048576"/>
    <mergeCell ref="AY4:BG4"/>
    <mergeCell ref="AY15:BG15"/>
    <mergeCell ref="AY22:BG22"/>
    <mergeCell ref="AY34:BG34"/>
    <mergeCell ref="AO34:AW34"/>
    <mergeCell ref="AO22:AW22"/>
    <mergeCell ref="BF1:BF2"/>
    <mergeCell ref="BG1:BG2"/>
    <mergeCell ref="AY1:AY2"/>
    <mergeCell ref="AZ1:AZ2"/>
    <mergeCell ref="BA1:BA2"/>
    <mergeCell ref="BB1:BB2"/>
    <mergeCell ref="BC1:BE1"/>
    <mergeCell ref="AV1:AV2"/>
    <mergeCell ref="AW1:AW2"/>
    <mergeCell ref="AO1:AO2"/>
    <mergeCell ref="BM1:BO1"/>
    <mergeCell ref="BP1:BP2"/>
    <mergeCell ref="BQ1:BQ2"/>
    <mergeCell ref="BS1:BS2"/>
    <mergeCell ref="BT1:BT2"/>
    <mergeCell ref="BU1:BU2"/>
    <mergeCell ref="BR1:BR1048576"/>
    <mergeCell ref="U15:AC15"/>
    <mergeCell ref="U22:AC22"/>
    <mergeCell ref="U34:AC34"/>
    <mergeCell ref="AE4:AM4"/>
    <mergeCell ref="AN1:AN1048576"/>
    <mergeCell ref="U4:AC4"/>
    <mergeCell ref="AD1:AD1048576"/>
    <mergeCell ref="AP1:AP2"/>
    <mergeCell ref="AQ1:AQ2"/>
    <mergeCell ref="AR1:AR2"/>
    <mergeCell ref="AS1:AU1"/>
    <mergeCell ref="U1:U2"/>
    <mergeCell ref="V1:V2"/>
    <mergeCell ref="W1:W2"/>
    <mergeCell ref="AX1:AX1048576"/>
    <mergeCell ref="AO4:AW4"/>
    <mergeCell ref="AO15:AW15"/>
    <mergeCell ref="CP1:CP2"/>
    <mergeCell ref="CO1:CO2"/>
    <mergeCell ref="CN1:CN2"/>
    <mergeCell ref="CM1:CM2"/>
    <mergeCell ref="CU1:CU2"/>
    <mergeCell ref="CT1:CT2"/>
    <mergeCell ref="CQ1:CS1"/>
    <mergeCell ref="CV1:CV1048576"/>
    <mergeCell ref="BI4:BQ4"/>
    <mergeCell ref="BI15:BQ15"/>
    <mergeCell ref="BI22:BQ22"/>
    <mergeCell ref="BI34:BQ34"/>
    <mergeCell ref="BS4:CA4"/>
    <mergeCell ref="BS15:CA15"/>
    <mergeCell ref="BS22:CA22"/>
    <mergeCell ref="BS34:CA34"/>
    <mergeCell ref="CM4:CU4"/>
    <mergeCell ref="CM15:CU15"/>
    <mergeCell ref="CM22:CU22"/>
    <mergeCell ref="CM34:CU34"/>
    <mergeCell ref="BI1:BI2"/>
    <mergeCell ref="BJ1:BJ2"/>
    <mergeCell ref="BK1:BK2"/>
    <mergeCell ref="BL1:BL2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4"/>
  <sheetViews>
    <sheetView tabSelected="1" zoomScale="110" zoomScaleNormal="110" workbookViewId="0">
      <pane ySplit="1" topLeftCell="A269" activePane="bottomLeft" state="frozen"/>
      <selection pane="bottomLeft" activeCell="K284" sqref="K284"/>
    </sheetView>
  </sheetViews>
  <sheetFormatPr defaultColWidth="4.26953125" defaultRowHeight="10.5" customHeight="1" x14ac:dyDescent="0.25"/>
  <cols>
    <col min="1" max="1" width="4.26953125" style="5"/>
    <col min="2" max="2" width="35.81640625" style="5" customWidth="1"/>
    <col min="3" max="3" width="5.81640625" style="5" customWidth="1"/>
    <col min="4" max="4" width="4.81640625" style="5" customWidth="1"/>
    <col min="5" max="5" width="6.54296875" style="5" customWidth="1"/>
    <col min="6" max="6" width="6.1796875" style="5" customWidth="1"/>
    <col min="7" max="7" width="4.7265625" style="5" bestFit="1" customWidth="1"/>
    <col min="8" max="8" width="6.7265625" style="5" customWidth="1"/>
    <col min="9" max="9" width="6.26953125" style="5" customWidth="1"/>
    <col min="10" max="11" width="5.36328125" style="5" customWidth="1"/>
    <col min="12" max="12" width="7.26953125" style="5" customWidth="1"/>
    <col min="13" max="13" width="6" style="5" customWidth="1"/>
    <col min="14" max="14" width="5.81640625" style="5" customWidth="1"/>
    <col min="15" max="15" width="6.26953125" style="5" customWidth="1"/>
    <col min="16" max="16" width="6" style="5" customWidth="1"/>
    <col min="17" max="17" width="4.81640625" style="5" customWidth="1"/>
    <col min="18" max="18" width="5.453125" style="5" customWidth="1"/>
    <col min="19" max="19" width="4" style="5" customWidth="1"/>
    <col min="20" max="20" width="5.26953125" style="5" customWidth="1"/>
    <col min="21" max="21" width="6.81640625" style="5" customWidth="1"/>
    <col min="22" max="22" width="5.81640625" style="5" customWidth="1"/>
    <col min="23" max="23" width="6.81640625" style="46" customWidth="1"/>
    <col min="24" max="25" width="6.26953125" style="5" customWidth="1"/>
    <col min="26" max="26" width="5.90625" style="5" customWidth="1"/>
    <col min="27" max="27" width="4.90625" style="5" customWidth="1"/>
    <col min="28" max="28" width="4.6328125" style="5" customWidth="1"/>
    <col min="29" max="29" width="5.1796875" style="5" customWidth="1"/>
    <col min="30" max="31" width="6.26953125" style="5" customWidth="1"/>
    <col min="32" max="32" width="4.7265625" style="5" bestFit="1" customWidth="1"/>
    <col min="33" max="33" width="6" style="5" bestFit="1" customWidth="1"/>
    <col min="34" max="16384" width="4.26953125" style="7"/>
  </cols>
  <sheetData>
    <row r="1" spans="1:33" s="65" customFormat="1" ht="38.25" customHeight="1" x14ac:dyDescent="0.25">
      <c r="A1" s="63" t="s">
        <v>54</v>
      </c>
      <c r="B1" s="63" t="s">
        <v>55</v>
      </c>
      <c r="C1" s="62" t="s">
        <v>56</v>
      </c>
      <c r="D1" s="62" t="s">
        <v>65</v>
      </c>
      <c r="E1" s="64" t="s">
        <v>64</v>
      </c>
      <c r="F1" s="64" t="s">
        <v>57</v>
      </c>
      <c r="G1" s="62" t="s">
        <v>58</v>
      </c>
      <c r="H1" s="62" t="s">
        <v>59</v>
      </c>
      <c r="I1" s="62" t="s">
        <v>60</v>
      </c>
      <c r="J1" s="62" t="s">
        <v>61</v>
      </c>
      <c r="K1" s="62" t="s">
        <v>205</v>
      </c>
      <c r="L1" s="64" t="s">
        <v>62</v>
      </c>
      <c r="M1" s="62" t="s">
        <v>63</v>
      </c>
      <c r="N1" s="62" t="s">
        <v>66</v>
      </c>
      <c r="O1" s="62" t="s">
        <v>43</v>
      </c>
      <c r="P1" s="62" t="s">
        <v>67</v>
      </c>
      <c r="Q1" s="62" t="s">
        <v>68</v>
      </c>
      <c r="R1" s="62" t="s">
        <v>69</v>
      </c>
      <c r="S1" s="62" t="s">
        <v>70</v>
      </c>
      <c r="T1" s="62" t="s">
        <v>71</v>
      </c>
      <c r="U1" s="64" t="s">
        <v>72</v>
      </c>
      <c r="V1" s="62" t="s">
        <v>73</v>
      </c>
      <c r="W1" s="62" t="s">
        <v>74</v>
      </c>
      <c r="X1" s="62" t="s">
        <v>82</v>
      </c>
      <c r="Y1" s="62" t="s">
        <v>75</v>
      </c>
      <c r="Z1" s="62" t="s">
        <v>76</v>
      </c>
      <c r="AA1" s="62" t="s">
        <v>77</v>
      </c>
      <c r="AB1" s="62" t="s">
        <v>211</v>
      </c>
      <c r="AC1" s="62" t="s">
        <v>210</v>
      </c>
      <c r="AD1" s="62" t="s">
        <v>78</v>
      </c>
      <c r="AE1" s="62" t="s">
        <v>79</v>
      </c>
      <c r="AF1" s="62" t="s">
        <v>80</v>
      </c>
      <c r="AG1" s="62" t="s">
        <v>81</v>
      </c>
    </row>
    <row r="2" spans="1:33" s="27" customFormat="1" ht="10.5" customHeight="1" x14ac:dyDescent="0.3">
      <c r="A2" s="220" t="s">
        <v>27</v>
      </c>
      <c r="B2" s="221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 ht="10.5" customHeight="1" x14ac:dyDescent="0.25">
      <c r="A3" s="22">
        <v>7</v>
      </c>
      <c r="B3" s="22" t="s">
        <v>39</v>
      </c>
      <c r="C3" s="22">
        <v>10</v>
      </c>
      <c r="G3" s="5">
        <v>10</v>
      </c>
    </row>
    <row r="4" spans="1:33" s="155" customFormat="1" ht="10.5" customHeight="1" x14ac:dyDescent="0.25">
      <c r="A4" s="155">
        <v>95</v>
      </c>
      <c r="B4" s="155" t="s">
        <v>145</v>
      </c>
      <c r="C4" s="168">
        <v>150</v>
      </c>
      <c r="D4" s="169">
        <v>120</v>
      </c>
      <c r="E4" s="142"/>
      <c r="F4" s="142"/>
      <c r="G4" s="142"/>
      <c r="H4" s="142"/>
      <c r="I4" s="142"/>
      <c r="J4" s="142"/>
      <c r="K4" s="142"/>
      <c r="L4" s="142"/>
      <c r="M4" s="142"/>
      <c r="N4" s="142">
        <v>36</v>
      </c>
      <c r="O4" s="142"/>
      <c r="P4" s="142"/>
      <c r="Q4" s="142"/>
      <c r="R4" s="142"/>
      <c r="S4" s="142"/>
      <c r="T4" s="142"/>
      <c r="U4" s="169">
        <v>4.5</v>
      </c>
      <c r="V4" s="142"/>
      <c r="W4" s="142"/>
      <c r="X4" s="169">
        <v>1.88</v>
      </c>
      <c r="Y4" s="142"/>
      <c r="Z4" s="142"/>
      <c r="AA4" s="142"/>
      <c r="AB4" s="142"/>
      <c r="AC4" s="142"/>
      <c r="AD4" s="169">
        <v>5.25</v>
      </c>
      <c r="AE4" s="142"/>
      <c r="AF4" s="142"/>
      <c r="AG4" s="169">
        <v>0.38</v>
      </c>
    </row>
    <row r="5" spans="1:33" s="47" customFormat="1" ht="10.5" customHeight="1" x14ac:dyDescent="0.25">
      <c r="A5" s="48"/>
      <c r="B5" s="48" t="s">
        <v>95</v>
      </c>
      <c r="C5" s="48">
        <v>180</v>
      </c>
      <c r="D5" s="46"/>
      <c r="E5" s="166">
        <v>103.9</v>
      </c>
      <c r="F5" s="46">
        <v>5</v>
      </c>
      <c r="G5" s="46"/>
      <c r="H5" s="46"/>
      <c r="I5" s="46"/>
      <c r="J5" s="46"/>
      <c r="K5" s="46"/>
      <c r="L5" s="46">
        <f>6*1.9</f>
        <v>11.399999999999999</v>
      </c>
      <c r="M5" s="46"/>
      <c r="N5" s="46"/>
      <c r="O5" s="46"/>
      <c r="P5" s="46">
        <v>5</v>
      </c>
      <c r="Q5" s="46"/>
      <c r="R5" s="46"/>
      <c r="S5" s="46"/>
      <c r="T5" s="46"/>
      <c r="U5" s="46">
        <f>14*1.8</f>
        <v>25.2</v>
      </c>
      <c r="V5" s="46"/>
      <c r="W5" s="46"/>
      <c r="X5" s="46">
        <v>5.2</v>
      </c>
      <c r="Y5" s="46"/>
      <c r="Z5" s="46"/>
      <c r="AA5" s="46"/>
      <c r="AB5" s="46"/>
      <c r="AC5" s="46"/>
      <c r="AD5" s="46">
        <v>6</v>
      </c>
      <c r="AE5" s="46"/>
      <c r="AF5" s="46"/>
      <c r="AG5" s="46">
        <v>0.1</v>
      </c>
    </row>
    <row r="6" spans="1:33" s="47" customFormat="1" ht="10.5" customHeight="1" x14ac:dyDescent="0.25">
      <c r="A6" s="48" t="s">
        <v>53</v>
      </c>
      <c r="B6" s="48" t="s">
        <v>214</v>
      </c>
      <c r="C6" s="48">
        <v>15</v>
      </c>
      <c r="D6" s="46"/>
      <c r="E6" s="46"/>
      <c r="F6" s="46">
        <v>15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49" customFormat="1" ht="10.5" customHeight="1" x14ac:dyDescent="0.25">
      <c r="A7" s="48">
        <v>392</v>
      </c>
      <c r="B7" s="48" t="s">
        <v>45</v>
      </c>
      <c r="C7" s="48">
        <v>180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166">
        <v>0.84</v>
      </c>
      <c r="AB7" s="46"/>
      <c r="AC7" s="46"/>
      <c r="AD7" s="72">
        <v>5</v>
      </c>
      <c r="AE7" s="46"/>
      <c r="AF7" s="46"/>
      <c r="AG7" s="46"/>
    </row>
    <row r="8" spans="1:33" s="47" customFormat="1" ht="10.5" customHeight="1" x14ac:dyDescent="0.25">
      <c r="A8" s="45"/>
      <c r="B8" s="45" t="s">
        <v>34</v>
      </c>
      <c r="C8" s="45">
        <v>40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>
        <v>40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10" spans="1:33" s="58" customFormat="1" ht="10.5" customHeight="1" x14ac:dyDescent="0.25">
      <c r="A10" s="50"/>
      <c r="B10" s="50"/>
      <c r="C10" s="57">
        <f>SUM(C3:C9)</f>
        <v>575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s="47" customFormat="1" ht="10.5" customHeight="1" x14ac:dyDescent="0.25">
      <c r="A11" s="45">
        <v>399</v>
      </c>
      <c r="B11" s="45" t="s">
        <v>196</v>
      </c>
      <c r="C11" s="45">
        <v>200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>
        <v>200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</row>
    <row r="12" spans="1:33" s="47" customFormat="1" ht="10.5" customHeight="1" x14ac:dyDescent="0.25">
      <c r="A12" s="45"/>
      <c r="B12" s="48" t="s">
        <v>163</v>
      </c>
      <c r="C12" s="48">
        <v>20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>
        <v>20</v>
      </c>
      <c r="AA12" s="46"/>
      <c r="AB12" s="46"/>
      <c r="AC12" s="46"/>
      <c r="AD12" s="46"/>
      <c r="AE12" s="46"/>
      <c r="AF12" s="46"/>
      <c r="AG12" s="46"/>
    </row>
    <row r="13" spans="1:33" s="47" customFormat="1" ht="10.5" customHeight="1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3" s="155" customFormat="1" ht="10.5" customHeight="1" x14ac:dyDescent="0.25">
      <c r="A14" s="142" t="s">
        <v>53</v>
      </c>
      <c r="B14" s="169" t="s">
        <v>109</v>
      </c>
      <c r="C14" s="169">
        <v>60</v>
      </c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69">
        <v>54.6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69">
        <v>3</v>
      </c>
      <c r="Z14" s="142"/>
      <c r="AA14" s="142"/>
      <c r="AB14" s="142"/>
      <c r="AC14" s="142"/>
      <c r="AD14" s="169">
        <v>2.25</v>
      </c>
      <c r="AE14" s="142"/>
      <c r="AF14" s="142"/>
      <c r="AG14" s="169">
        <v>7.0000000000000007E-2</v>
      </c>
    </row>
    <row r="15" spans="1:33" s="155" customFormat="1" ht="10.5" customHeight="1" x14ac:dyDescent="0.25">
      <c r="A15" s="142">
        <v>82</v>
      </c>
      <c r="B15" s="170" t="s">
        <v>111</v>
      </c>
      <c r="C15" s="169">
        <v>200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69">
        <v>60</v>
      </c>
      <c r="N15" s="169">
        <v>16</v>
      </c>
      <c r="O15" s="142"/>
      <c r="P15" s="142"/>
      <c r="Q15" s="142"/>
      <c r="R15" s="142"/>
      <c r="S15" s="142"/>
      <c r="T15" s="142"/>
      <c r="U15" s="142"/>
      <c r="V15" s="169">
        <v>12</v>
      </c>
      <c r="W15" s="142"/>
      <c r="X15" s="142"/>
      <c r="Y15" s="169">
        <v>2</v>
      </c>
      <c r="Z15" s="142"/>
      <c r="AA15" s="142"/>
      <c r="AB15" s="142"/>
      <c r="AC15" s="142"/>
      <c r="AD15" s="142"/>
      <c r="AE15" s="142"/>
      <c r="AF15" s="142"/>
      <c r="AG15" s="169">
        <v>1</v>
      </c>
    </row>
    <row r="16" spans="1:33" s="59" customFormat="1" ht="10.5" customHeight="1" x14ac:dyDescent="0.25">
      <c r="A16" s="48"/>
      <c r="B16" s="48" t="s">
        <v>115</v>
      </c>
      <c r="C16" s="194">
        <v>220</v>
      </c>
      <c r="D16" s="48"/>
      <c r="E16" s="48"/>
      <c r="F16" s="48"/>
      <c r="G16" s="48"/>
      <c r="H16" s="167">
        <v>90</v>
      </c>
      <c r="I16" s="48"/>
      <c r="J16" s="48"/>
      <c r="K16" s="48"/>
      <c r="L16" s="48"/>
      <c r="M16" s="48">
        <v>91</v>
      </c>
      <c r="N16" s="167">
        <v>30</v>
      </c>
      <c r="O16" s="48"/>
      <c r="P16" s="48"/>
      <c r="Q16" s="48"/>
      <c r="R16" s="48"/>
      <c r="S16" s="48"/>
      <c r="T16" s="48"/>
      <c r="U16" s="48"/>
      <c r="V16" s="48"/>
      <c r="W16" s="48">
        <v>4</v>
      </c>
      <c r="X16" s="48">
        <v>5</v>
      </c>
      <c r="Y16" s="48"/>
      <c r="Z16" s="48"/>
      <c r="AA16" s="48"/>
      <c r="AB16" s="48"/>
      <c r="AC16" s="48"/>
      <c r="AD16" s="48"/>
      <c r="AE16" s="48"/>
      <c r="AF16" s="48"/>
      <c r="AG16" s="48">
        <v>1</v>
      </c>
    </row>
    <row r="17" spans="1:33" s="47" customFormat="1" ht="10.5" customHeight="1" x14ac:dyDescent="0.25">
      <c r="A17" s="48">
        <v>379</v>
      </c>
      <c r="B17" s="48" t="s">
        <v>175</v>
      </c>
      <c r="C17" s="48">
        <v>180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>
        <v>18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>
        <v>10</v>
      </c>
      <c r="AE17" s="46"/>
      <c r="AF17" s="46">
        <v>4</v>
      </c>
      <c r="AG17" s="46"/>
    </row>
    <row r="18" spans="1:33" s="47" customFormat="1" ht="10.5" customHeight="1" x14ac:dyDescent="0.25">
      <c r="A18" s="48"/>
      <c r="B18" s="48" t="s">
        <v>34</v>
      </c>
      <c r="C18" s="167">
        <v>40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166">
        <v>40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1:33" s="47" customFormat="1" ht="10.5" customHeight="1" x14ac:dyDescent="0.25">
      <c r="A19" s="48"/>
      <c r="B19" s="48" t="s">
        <v>160</v>
      </c>
      <c r="C19" s="167">
        <v>25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166">
        <v>25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1:33" s="47" customFormat="1" ht="10.5" customHeight="1" x14ac:dyDescent="0.25">
      <c r="A20" s="46"/>
      <c r="B20" s="46"/>
      <c r="C20" s="60">
        <f>SUM(C14:C19)</f>
        <v>725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spans="1:33" s="156" customFormat="1" ht="10.5" customHeight="1" x14ac:dyDescent="0.25">
      <c r="A21" s="152"/>
      <c r="B21" s="152" t="s">
        <v>215</v>
      </c>
      <c r="C21" s="152">
        <v>100</v>
      </c>
      <c r="D21" s="152"/>
      <c r="E21" s="152"/>
      <c r="F21" s="152">
        <v>15</v>
      </c>
      <c r="G21" s="152"/>
      <c r="H21" s="152"/>
      <c r="I21" s="152"/>
      <c r="J21" s="152"/>
      <c r="K21" s="152">
        <v>103.6</v>
      </c>
      <c r="L21" s="152"/>
      <c r="M21" s="152"/>
      <c r="N21" s="152">
        <v>3</v>
      </c>
      <c r="O21" s="152"/>
      <c r="P21" s="152"/>
      <c r="Q21" s="152"/>
      <c r="R21" s="152"/>
      <c r="S21" s="152"/>
      <c r="T21" s="152"/>
      <c r="U21" s="152"/>
      <c r="V21" s="152"/>
      <c r="W21" s="72">
        <v>1.4</v>
      </c>
      <c r="X21" s="152">
        <v>9.9</v>
      </c>
      <c r="Y21" s="152"/>
      <c r="Z21" s="152"/>
      <c r="AA21" s="152"/>
      <c r="AB21" s="152"/>
      <c r="AC21" s="152"/>
      <c r="AD21" s="152"/>
      <c r="AE21" s="152"/>
      <c r="AF21" s="152"/>
      <c r="AG21" s="152">
        <v>0.65</v>
      </c>
    </row>
    <row r="22" spans="1:33" s="155" customFormat="1" ht="10.5" customHeight="1" x14ac:dyDescent="0.25">
      <c r="A22" s="142">
        <v>313</v>
      </c>
      <c r="B22" s="169" t="s">
        <v>136</v>
      </c>
      <c r="C22" s="169">
        <v>120</v>
      </c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69">
        <v>48</v>
      </c>
      <c r="V22" s="142"/>
      <c r="W22" s="142"/>
      <c r="X22" s="169">
        <v>2</v>
      </c>
      <c r="Y22" s="142"/>
      <c r="Z22" s="142"/>
      <c r="AA22" s="142"/>
      <c r="AB22" s="142"/>
      <c r="AC22" s="142"/>
      <c r="AD22" s="142"/>
      <c r="AE22" s="142"/>
      <c r="AF22" s="142"/>
      <c r="AG22" s="167">
        <v>2</v>
      </c>
    </row>
    <row r="23" spans="1:33" s="47" customFormat="1" ht="10.5" customHeight="1" x14ac:dyDescent="0.25">
      <c r="A23" s="48">
        <v>478</v>
      </c>
      <c r="B23" s="48" t="s">
        <v>134</v>
      </c>
      <c r="C23" s="61">
        <v>30</v>
      </c>
      <c r="D23" s="46"/>
      <c r="E23" s="46"/>
      <c r="F23" s="46"/>
      <c r="G23" s="46"/>
      <c r="H23" s="46"/>
      <c r="I23" s="46"/>
      <c r="J23" s="46"/>
      <c r="K23" s="46"/>
      <c r="L23" s="166">
        <v>0.48</v>
      </c>
      <c r="M23" s="46"/>
      <c r="N23" s="166">
        <v>1.3</v>
      </c>
      <c r="O23" s="46"/>
      <c r="P23" s="46"/>
      <c r="Q23" s="46"/>
      <c r="R23" s="46"/>
      <c r="S23" s="46"/>
      <c r="T23" s="46"/>
      <c r="U23" s="46"/>
      <c r="V23" s="46"/>
      <c r="W23" s="46">
        <v>19.2</v>
      </c>
      <c r="X23" s="46"/>
      <c r="Y23" s="46">
        <v>3.5</v>
      </c>
      <c r="Z23" s="46"/>
      <c r="AA23" s="46"/>
      <c r="AB23" s="46"/>
      <c r="AC23" s="46"/>
      <c r="AD23" s="46">
        <v>3</v>
      </c>
      <c r="AE23" s="166">
        <v>0.4</v>
      </c>
      <c r="AF23" s="46"/>
      <c r="AG23" s="166">
        <v>0.18</v>
      </c>
    </row>
    <row r="24" spans="1:33" s="47" customFormat="1" ht="10.5" customHeight="1" x14ac:dyDescent="0.25">
      <c r="A24" s="48">
        <v>400</v>
      </c>
      <c r="B24" s="48" t="s">
        <v>161</v>
      </c>
      <c r="C24" s="48">
        <v>200</v>
      </c>
      <c r="D24" s="46">
        <v>200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spans="1:33" s="47" customFormat="1" ht="10.5" customHeight="1" x14ac:dyDescent="0.25">
      <c r="A25" s="48"/>
      <c r="B25" s="48" t="s">
        <v>160</v>
      </c>
      <c r="C25" s="48">
        <v>25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>
        <v>25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3" s="47" customFormat="1" ht="10.5" customHeight="1" x14ac:dyDescent="0.25">
      <c r="A26" s="45">
        <v>368</v>
      </c>
      <c r="B26" s="45" t="s">
        <v>43</v>
      </c>
      <c r="C26" s="45">
        <v>100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>
        <v>100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spans="1:33" ht="10.5" customHeight="1" x14ac:dyDescent="0.25">
      <c r="C27" s="43">
        <f>SUM(C21:C26)</f>
        <v>575</v>
      </c>
    </row>
    <row r="29" spans="1:33" s="11" customFormat="1" ht="10.5" customHeight="1" x14ac:dyDescent="0.25">
      <c r="A29" s="9"/>
      <c r="B29" s="10" t="s">
        <v>86</v>
      </c>
      <c r="C29" s="9"/>
      <c r="D29" s="9">
        <f t="shared" ref="D29:AD29" si="0">SUM(D3:D28)</f>
        <v>320</v>
      </c>
      <c r="E29" s="9">
        <f t="shared" si="0"/>
        <v>103.9</v>
      </c>
      <c r="F29" s="9">
        <f t="shared" si="0"/>
        <v>35</v>
      </c>
      <c r="G29" s="9">
        <f t="shared" si="0"/>
        <v>10</v>
      </c>
      <c r="H29" s="9">
        <f t="shared" si="0"/>
        <v>90</v>
      </c>
      <c r="I29" s="9">
        <f t="shared" si="0"/>
        <v>0</v>
      </c>
      <c r="J29" s="9">
        <f t="shared" si="0"/>
        <v>0</v>
      </c>
      <c r="K29" s="9">
        <f t="shared" si="0"/>
        <v>103.6</v>
      </c>
      <c r="L29" s="9">
        <f t="shared" si="0"/>
        <v>11.879999999999999</v>
      </c>
      <c r="M29" s="9">
        <f t="shared" si="0"/>
        <v>151</v>
      </c>
      <c r="N29" s="9">
        <f t="shared" si="0"/>
        <v>140.9</v>
      </c>
      <c r="O29" s="9">
        <f t="shared" si="0"/>
        <v>100</v>
      </c>
      <c r="P29" s="9">
        <f t="shared" si="0"/>
        <v>23</v>
      </c>
      <c r="Q29" s="9">
        <f t="shared" si="0"/>
        <v>200</v>
      </c>
      <c r="R29" s="9">
        <f t="shared" si="0"/>
        <v>0</v>
      </c>
      <c r="S29" s="9">
        <f t="shared" si="0"/>
        <v>50</v>
      </c>
      <c r="T29" s="9">
        <f t="shared" si="0"/>
        <v>80</v>
      </c>
      <c r="U29" s="9">
        <f t="shared" si="0"/>
        <v>77.7</v>
      </c>
      <c r="V29" s="9">
        <f t="shared" si="0"/>
        <v>12</v>
      </c>
      <c r="W29" s="9">
        <f t="shared" si="0"/>
        <v>24.6</v>
      </c>
      <c r="X29" s="9">
        <f t="shared" si="0"/>
        <v>23.98</v>
      </c>
      <c r="Y29" s="9">
        <f t="shared" si="0"/>
        <v>8.5</v>
      </c>
      <c r="Z29" s="9">
        <f t="shared" si="0"/>
        <v>20</v>
      </c>
      <c r="AA29" s="9">
        <f t="shared" si="0"/>
        <v>0.84</v>
      </c>
      <c r="AB29" s="9">
        <f t="shared" si="0"/>
        <v>0</v>
      </c>
      <c r="AC29" s="9">
        <f t="shared" si="0"/>
        <v>0</v>
      </c>
      <c r="AD29" s="9">
        <f t="shared" si="0"/>
        <v>31.5</v>
      </c>
      <c r="AE29" s="9">
        <v>0.5</v>
      </c>
      <c r="AF29" s="9">
        <f>SUM(AF3:AF28)</f>
        <v>4</v>
      </c>
      <c r="AG29" s="9">
        <f>SUM(AG3:AG28)</f>
        <v>5.379999999999999</v>
      </c>
    </row>
    <row r="31" spans="1:33" s="27" customFormat="1" ht="10.5" customHeight="1" x14ac:dyDescent="0.3">
      <c r="A31" s="220" t="s">
        <v>41</v>
      </c>
      <c r="B31" s="22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pans="1:33" s="155" customFormat="1" ht="10.5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</row>
    <row r="33" spans="1:33" s="155" customFormat="1" ht="10.5" customHeight="1" x14ac:dyDescent="0.25">
      <c r="A33" s="155">
        <v>275</v>
      </c>
      <c r="B33" s="171" t="s">
        <v>207</v>
      </c>
      <c r="C33" s="171">
        <v>120</v>
      </c>
      <c r="D33" s="169">
        <v>42</v>
      </c>
      <c r="E33" s="169"/>
      <c r="F33" s="169"/>
      <c r="G33" s="169"/>
      <c r="H33" s="169">
        <v>42</v>
      </c>
      <c r="I33" s="169"/>
      <c r="J33" s="169"/>
      <c r="K33" s="169"/>
      <c r="L33" s="169">
        <v>64</v>
      </c>
      <c r="M33" s="169"/>
      <c r="N33" s="169"/>
      <c r="O33" s="142"/>
      <c r="P33" s="142"/>
      <c r="Q33" s="142"/>
      <c r="R33" s="142"/>
      <c r="S33" s="142"/>
      <c r="T33" s="142"/>
      <c r="U33" s="142"/>
      <c r="V33" s="142"/>
      <c r="W33" s="142"/>
      <c r="X33" s="169">
        <v>5</v>
      </c>
      <c r="Y33" s="169"/>
      <c r="Z33" s="169"/>
      <c r="AA33" s="169"/>
      <c r="AB33" s="169"/>
      <c r="AC33" s="169"/>
      <c r="AD33" s="169"/>
      <c r="AE33" s="169"/>
      <c r="AF33" s="169"/>
      <c r="AG33" s="142">
        <v>0.4</v>
      </c>
    </row>
    <row r="34" spans="1:33" s="49" customFormat="1" ht="10.5" customHeight="1" x14ac:dyDescent="0.25">
      <c r="B34" s="49" t="s">
        <v>126</v>
      </c>
      <c r="C34" s="168">
        <v>60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169">
        <v>60</v>
      </c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45"/>
      <c r="AG34" s="45"/>
    </row>
    <row r="35" spans="1:33" ht="10.5" customHeight="1" x14ac:dyDescent="0.25">
      <c r="A35" s="6">
        <v>397</v>
      </c>
      <c r="B35" s="6" t="s">
        <v>50</v>
      </c>
      <c r="C35" s="6">
        <v>180</v>
      </c>
      <c r="D35" s="5">
        <v>110</v>
      </c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>
        <v>3</v>
      </c>
      <c r="AC35" s="172"/>
      <c r="AD35" s="172">
        <v>5</v>
      </c>
      <c r="AE35" s="172"/>
    </row>
    <row r="36" spans="1:33" s="59" customFormat="1" ht="10.5" customHeight="1" x14ac:dyDescent="0.25">
      <c r="A36" s="48">
        <v>2</v>
      </c>
      <c r="B36" s="48" t="s">
        <v>174</v>
      </c>
      <c r="C36" s="48">
        <v>50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>
        <v>30</v>
      </c>
      <c r="U36" s="48"/>
      <c r="V36" s="48"/>
      <c r="W36" s="48"/>
      <c r="X36" s="48">
        <v>5</v>
      </c>
      <c r="Y36" s="48"/>
      <c r="Z36" s="48">
        <v>15</v>
      </c>
      <c r="AA36" s="48"/>
      <c r="AB36" s="48"/>
      <c r="AC36" s="48"/>
      <c r="AD36" s="48"/>
      <c r="AE36" s="48"/>
      <c r="AF36" s="48"/>
      <c r="AG36" s="48"/>
    </row>
    <row r="37" spans="1:33" s="59" customFormat="1" ht="10.5" customHeight="1" x14ac:dyDescent="0.25">
      <c r="A37" s="48"/>
      <c r="B37" s="48" t="s">
        <v>146</v>
      </c>
      <c r="C37" s="48">
        <v>100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>
        <v>100</v>
      </c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</row>
    <row r="38" spans="1:33" s="49" customFormat="1" ht="10.5" customHeight="1" x14ac:dyDescent="0.25">
      <c r="A38" s="48"/>
      <c r="B38" s="48" t="s">
        <v>34</v>
      </c>
      <c r="C38" s="48">
        <v>20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>
        <v>20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s="47" customFormat="1" ht="10.5" customHeight="1" x14ac:dyDescent="0.25">
      <c r="A39" s="46"/>
      <c r="B39" s="46"/>
      <c r="C39" s="60">
        <f>SUM(C32:C38)</f>
        <v>530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33" s="47" customFormat="1" ht="10.5" customHeight="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1:33" s="46" customFormat="1" ht="10.5" customHeight="1" x14ac:dyDescent="0.25">
      <c r="A41" s="48">
        <v>401</v>
      </c>
      <c r="B41" s="48" t="s">
        <v>171</v>
      </c>
      <c r="C41" s="48">
        <v>200</v>
      </c>
      <c r="D41" s="46">
        <v>200</v>
      </c>
    </row>
    <row r="43" spans="1:33" s="47" customFormat="1" ht="10.5" customHeight="1" x14ac:dyDescent="0.25">
      <c r="A43" s="48">
        <v>35</v>
      </c>
      <c r="B43" s="48" t="s">
        <v>103</v>
      </c>
      <c r="C43" s="48">
        <v>60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>
        <v>66</v>
      </c>
      <c r="O43" s="46">
        <f>26*0.6</f>
        <v>15.6</v>
      </c>
      <c r="P43" s="46"/>
      <c r="Q43" s="46"/>
      <c r="R43" s="46"/>
      <c r="S43" s="46"/>
      <c r="T43" s="46"/>
      <c r="U43" s="46"/>
      <c r="V43" s="46"/>
      <c r="W43" s="46"/>
      <c r="X43" s="46"/>
      <c r="Y43" s="46">
        <v>3</v>
      </c>
      <c r="Z43" s="46"/>
      <c r="AA43" s="46"/>
      <c r="AB43" s="46"/>
      <c r="AC43" s="46"/>
      <c r="AD43" s="46">
        <v>1.8</v>
      </c>
      <c r="AE43" s="46"/>
      <c r="AF43" s="46"/>
      <c r="AG43" s="46">
        <v>0.09</v>
      </c>
    </row>
    <row r="44" spans="1:33" s="155" customFormat="1" ht="10.5" customHeight="1" x14ac:dyDescent="0.25">
      <c r="A44" s="169">
        <v>76</v>
      </c>
      <c r="B44" s="169" t="s">
        <v>172</v>
      </c>
      <c r="C44" s="169">
        <v>200</v>
      </c>
      <c r="D44" s="169"/>
      <c r="E44" s="169"/>
      <c r="F44" s="169"/>
      <c r="G44" s="169"/>
      <c r="H44" s="169"/>
      <c r="I44" s="169"/>
      <c r="J44" s="169"/>
      <c r="K44" s="169"/>
      <c r="L44" s="169"/>
      <c r="M44" s="169">
        <v>60</v>
      </c>
      <c r="N44" s="169">
        <v>24</v>
      </c>
      <c r="O44" s="169"/>
      <c r="P44" s="169"/>
      <c r="Q44" s="169"/>
      <c r="R44" s="169"/>
      <c r="S44" s="169"/>
      <c r="T44" s="169"/>
      <c r="U44" s="169">
        <v>4</v>
      </c>
      <c r="V44" s="169"/>
      <c r="W44" s="169"/>
      <c r="X44" s="169"/>
      <c r="Y44" s="169">
        <v>4</v>
      </c>
      <c r="Z44" s="169"/>
      <c r="AA44" s="169"/>
      <c r="AB44" s="169"/>
      <c r="AC44" s="169"/>
      <c r="AD44" s="169"/>
      <c r="AE44" s="169"/>
      <c r="AF44" s="169"/>
      <c r="AG44" s="169">
        <v>1</v>
      </c>
    </row>
    <row r="45" spans="1:33" s="59" customFormat="1" ht="10.5" customHeight="1" x14ac:dyDescent="0.25">
      <c r="A45" s="48">
        <v>300</v>
      </c>
      <c r="B45" s="48" t="s">
        <v>133</v>
      </c>
      <c r="C45" s="48">
        <v>90</v>
      </c>
      <c r="D45" s="48"/>
      <c r="E45" s="48"/>
      <c r="F45" s="48">
        <v>12.5</v>
      </c>
      <c r="G45" s="48"/>
      <c r="H45" s="48"/>
      <c r="I45" s="48">
        <v>88.8</v>
      </c>
      <c r="J45" s="48"/>
      <c r="K45" s="48"/>
      <c r="L45" s="48"/>
      <c r="M45" s="48"/>
      <c r="N45" s="48">
        <v>2</v>
      </c>
      <c r="O45" s="48"/>
      <c r="P45" s="48"/>
      <c r="Q45" s="48"/>
      <c r="R45" s="48"/>
      <c r="S45" s="48"/>
      <c r="T45" s="48"/>
      <c r="U45" s="48"/>
      <c r="V45" s="48"/>
      <c r="W45" s="48">
        <v>1.1200000000000001</v>
      </c>
      <c r="X45" s="48">
        <v>1.25</v>
      </c>
      <c r="Y45" s="48"/>
      <c r="Z45" s="48"/>
      <c r="AA45" s="48"/>
      <c r="AB45" s="48"/>
      <c r="AC45" s="48"/>
      <c r="AD45" s="48"/>
      <c r="AE45" s="48"/>
      <c r="AF45" s="48"/>
      <c r="AG45" s="48">
        <v>0.6</v>
      </c>
    </row>
    <row r="46" spans="1:33" s="47" customFormat="1" ht="10.5" customHeight="1" x14ac:dyDescent="0.25">
      <c r="A46" s="48">
        <v>318</v>
      </c>
      <c r="B46" s="48" t="s">
        <v>52</v>
      </c>
      <c r="C46" s="48">
        <v>150</v>
      </c>
      <c r="D46" s="46"/>
      <c r="E46" s="46"/>
      <c r="F46" s="46"/>
      <c r="G46" s="46"/>
      <c r="H46" s="46"/>
      <c r="I46" s="46"/>
      <c r="J46" s="46"/>
      <c r="K46" s="46"/>
      <c r="L46" s="46"/>
      <c r="M46" s="46">
        <v>150</v>
      </c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>
        <v>3.5</v>
      </c>
      <c r="Y46" s="46"/>
      <c r="Z46" s="46"/>
      <c r="AA46" s="46"/>
      <c r="AB46" s="46"/>
      <c r="AC46" s="46"/>
      <c r="AD46" s="46"/>
      <c r="AE46" s="46"/>
      <c r="AF46" s="46"/>
      <c r="AG46" s="46">
        <v>2</v>
      </c>
    </row>
    <row r="47" spans="1:33" s="47" customFormat="1" ht="10.5" customHeight="1" x14ac:dyDescent="0.25">
      <c r="A47" s="48">
        <v>373</v>
      </c>
      <c r="B47" s="48" t="s">
        <v>158</v>
      </c>
      <c r="C47" s="48">
        <v>180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>
        <v>36</v>
      </c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173">
        <v>15</v>
      </c>
      <c r="AE47" s="46"/>
      <c r="AF47" s="46"/>
      <c r="AG47" s="46"/>
    </row>
    <row r="48" spans="1:33" s="47" customFormat="1" ht="10.5" customHeight="1" x14ac:dyDescent="0.25">
      <c r="A48" s="48"/>
      <c r="B48" s="48" t="s">
        <v>34</v>
      </c>
      <c r="C48" s="48">
        <v>20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166">
        <v>20</v>
      </c>
      <c r="U48" s="46"/>
      <c r="V48" s="46"/>
      <c r="W48" s="46"/>
      <c r="X48" s="46"/>
      <c r="Y48" s="46"/>
      <c r="Z48" s="46"/>
      <c r="AA48" s="46"/>
      <c r="AB48" s="46"/>
      <c r="AC48" s="46"/>
      <c r="AD48" s="173"/>
      <c r="AE48" s="46"/>
      <c r="AF48" s="46"/>
      <c r="AG48" s="46"/>
    </row>
    <row r="49" spans="1:33" s="47" customFormat="1" ht="10.5" customHeight="1" x14ac:dyDescent="0.25">
      <c r="A49" s="48"/>
      <c r="B49" s="48" t="s">
        <v>160</v>
      </c>
      <c r="C49" s="48">
        <v>50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>
        <v>50</v>
      </c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173"/>
      <c r="AE49" s="46"/>
      <c r="AF49" s="46"/>
      <c r="AG49" s="46"/>
    </row>
    <row r="50" spans="1:33" s="47" customFormat="1" ht="10.5" customHeight="1" x14ac:dyDescent="0.25">
      <c r="A50" s="48"/>
      <c r="B50" s="48"/>
      <c r="C50" s="73">
        <f>SUM(C43:C49)</f>
        <v>750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173"/>
      <c r="AE50" s="46"/>
      <c r="AF50" s="46"/>
      <c r="AG50" s="46"/>
    </row>
    <row r="51" spans="1:33" s="47" customFormat="1" ht="10.5" customHeight="1" x14ac:dyDescent="0.25">
      <c r="A51" s="48"/>
      <c r="B51" s="48"/>
      <c r="C51" s="48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173"/>
      <c r="AE51" s="46"/>
      <c r="AF51" s="46"/>
      <c r="AG51" s="46"/>
    </row>
    <row r="52" spans="1:33" s="155" customFormat="1" ht="10.5" customHeight="1" x14ac:dyDescent="0.25">
      <c r="A52" s="170">
        <v>22</v>
      </c>
      <c r="B52" s="170" t="s">
        <v>104</v>
      </c>
      <c r="C52" s="170">
        <v>60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>
        <v>24</v>
      </c>
      <c r="N52" s="170">
        <v>33</v>
      </c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>
        <v>3</v>
      </c>
      <c r="Z52" s="170"/>
      <c r="AA52" s="170"/>
      <c r="AB52" s="170"/>
      <c r="AC52" s="170"/>
      <c r="AD52" s="173"/>
      <c r="AE52" s="170"/>
      <c r="AF52" s="170"/>
      <c r="AG52" s="167">
        <v>0.06</v>
      </c>
    </row>
    <row r="53" spans="1:33" s="155" customFormat="1" ht="10.5" customHeight="1" x14ac:dyDescent="0.25">
      <c r="A53" s="170">
        <v>253</v>
      </c>
      <c r="B53" s="170" t="s">
        <v>222</v>
      </c>
      <c r="C53" s="170">
        <v>150</v>
      </c>
      <c r="D53" s="170">
        <v>15</v>
      </c>
      <c r="E53" s="170"/>
      <c r="F53" s="170"/>
      <c r="G53" s="170"/>
      <c r="H53" s="170"/>
      <c r="I53" s="170"/>
      <c r="J53" s="167">
        <v>121.9</v>
      </c>
      <c r="K53" s="170"/>
      <c r="L53" s="170">
        <v>40</v>
      </c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>
        <v>5.63</v>
      </c>
      <c r="X53" s="170">
        <v>5.63</v>
      </c>
      <c r="Y53" s="170"/>
      <c r="Z53" s="170"/>
      <c r="AA53" s="170"/>
      <c r="AB53" s="170"/>
      <c r="AC53" s="170"/>
      <c r="AD53" s="173"/>
      <c r="AE53" s="170"/>
      <c r="AF53" s="170"/>
      <c r="AG53" s="170">
        <v>2</v>
      </c>
    </row>
    <row r="54" spans="1:33" s="47" customFormat="1" ht="10.5" customHeight="1" x14ac:dyDescent="0.25">
      <c r="A54" s="48">
        <v>394</v>
      </c>
      <c r="B54" s="48" t="s">
        <v>47</v>
      </c>
      <c r="C54" s="48">
        <v>180</v>
      </c>
      <c r="D54" s="46">
        <v>90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>
        <v>0.84</v>
      </c>
      <c r="AB54" s="46"/>
      <c r="AC54" s="46"/>
      <c r="AD54" s="72">
        <v>7</v>
      </c>
      <c r="AE54" s="46"/>
      <c r="AF54" s="46"/>
      <c r="AG54" s="46"/>
    </row>
    <row r="55" spans="1:33" s="47" customFormat="1" ht="10.5" customHeight="1" x14ac:dyDescent="0.25">
      <c r="A55" s="66">
        <v>491</v>
      </c>
      <c r="B55" s="66" t="s">
        <v>99</v>
      </c>
      <c r="C55" s="66">
        <v>37</v>
      </c>
      <c r="D55" s="53"/>
      <c r="E55" s="53"/>
      <c r="F55" s="53"/>
      <c r="G55" s="53"/>
      <c r="H55" s="53"/>
      <c r="I55" s="53"/>
      <c r="J55" s="53"/>
      <c r="K55" s="53"/>
      <c r="L55" s="174">
        <v>6.4</v>
      </c>
      <c r="M55" s="53"/>
      <c r="N55" s="174">
        <v>4.4000000000000004</v>
      </c>
      <c r="O55" s="53"/>
      <c r="P55" s="174">
        <v>4.3</v>
      </c>
      <c r="Q55" s="53"/>
      <c r="R55" s="53"/>
      <c r="S55" s="53"/>
      <c r="T55" s="53"/>
      <c r="U55" s="53"/>
      <c r="V55" s="53"/>
      <c r="W55" s="53">
        <v>11.7</v>
      </c>
      <c r="X55" s="53">
        <v>7.4</v>
      </c>
      <c r="Y55" s="53">
        <v>0.2</v>
      </c>
      <c r="Z55" s="53"/>
      <c r="AA55" s="53"/>
      <c r="AB55" s="53"/>
      <c r="AC55" s="53"/>
      <c r="AD55" s="53">
        <v>8.8000000000000007</v>
      </c>
      <c r="AE55" s="53"/>
      <c r="AF55" s="53"/>
      <c r="AG55" s="53">
        <v>0.04</v>
      </c>
    </row>
    <row r="56" spans="1:33" s="47" customFormat="1" ht="10.5" customHeight="1" x14ac:dyDescent="0.25">
      <c r="A56" s="48"/>
      <c r="B56" s="48" t="s">
        <v>34</v>
      </c>
      <c r="C56" s="61">
        <v>30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>
        <v>30</v>
      </c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</row>
    <row r="57" spans="1:33" s="47" customFormat="1" ht="10.5" customHeight="1" x14ac:dyDescent="0.25">
      <c r="A57" s="46"/>
      <c r="B57" s="46"/>
      <c r="C57" s="143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</row>
    <row r="58" spans="1:33" s="47" customFormat="1" ht="10.5" customHeight="1" x14ac:dyDescent="0.25">
      <c r="A58" s="45"/>
      <c r="B58" s="45"/>
      <c r="C58" s="57">
        <f>SUM(C52:C57)</f>
        <v>457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</row>
    <row r="59" spans="1:33" s="11" customFormat="1" ht="10.5" customHeight="1" x14ac:dyDescent="0.25">
      <c r="A59" s="14"/>
      <c r="B59" s="15" t="s">
        <v>86</v>
      </c>
      <c r="C59" s="14"/>
      <c r="D59" s="9">
        <f t="shared" ref="D59:AG59" si="1">SUM(D32:D58)</f>
        <v>457</v>
      </c>
      <c r="E59" s="9">
        <f t="shared" si="1"/>
        <v>0</v>
      </c>
      <c r="F59" s="9">
        <f t="shared" si="1"/>
        <v>12.5</v>
      </c>
      <c r="G59" s="9">
        <f t="shared" si="1"/>
        <v>0</v>
      </c>
      <c r="H59" s="9">
        <f t="shared" si="1"/>
        <v>42</v>
      </c>
      <c r="I59" s="9">
        <f t="shared" si="1"/>
        <v>88.8</v>
      </c>
      <c r="J59" s="9">
        <f t="shared" si="1"/>
        <v>121.9</v>
      </c>
      <c r="K59" s="9">
        <f t="shared" si="1"/>
        <v>0</v>
      </c>
      <c r="L59" s="9">
        <f t="shared" si="1"/>
        <v>110.4</v>
      </c>
      <c r="M59" s="9">
        <f t="shared" si="1"/>
        <v>234</v>
      </c>
      <c r="N59" s="9">
        <f t="shared" si="1"/>
        <v>189.4</v>
      </c>
      <c r="O59" s="9">
        <f t="shared" si="1"/>
        <v>151.6</v>
      </c>
      <c r="P59" s="9">
        <f t="shared" si="1"/>
        <v>4.3</v>
      </c>
      <c r="Q59" s="9">
        <f t="shared" si="1"/>
        <v>0</v>
      </c>
      <c r="R59" s="9">
        <f t="shared" si="1"/>
        <v>0</v>
      </c>
      <c r="S59" s="9">
        <f t="shared" si="1"/>
        <v>50</v>
      </c>
      <c r="T59" s="9">
        <f t="shared" si="1"/>
        <v>100</v>
      </c>
      <c r="U59" s="9">
        <f t="shared" si="1"/>
        <v>4</v>
      </c>
      <c r="V59" s="9">
        <f t="shared" si="1"/>
        <v>0</v>
      </c>
      <c r="W59" s="9">
        <f t="shared" si="1"/>
        <v>18.45</v>
      </c>
      <c r="X59" s="9">
        <f t="shared" si="1"/>
        <v>27.78</v>
      </c>
      <c r="Y59" s="9">
        <f t="shared" si="1"/>
        <v>10.199999999999999</v>
      </c>
      <c r="Z59" s="9">
        <f t="shared" si="1"/>
        <v>15</v>
      </c>
      <c r="AA59" s="9">
        <f t="shared" si="1"/>
        <v>0.84</v>
      </c>
      <c r="AB59" s="9">
        <f t="shared" si="1"/>
        <v>3</v>
      </c>
      <c r="AC59" s="9">
        <f t="shared" si="1"/>
        <v>0</v>
      </c>
      <c r="AD59" s="9">
        <f t="shared" si="1"/>
        <v>37.6</v>
      </c>
      <c r="AE59" s="9">
        <f t="shared" si="1"/>
        <v>0</v>
      </c>
      <c r="AF59" s="9">
        <f t="shared" si="1"/>
        <v>0</v>
      </c>
      <c r="AG59" s="9">
        <f t="shared" si="1"/>
        <v>6.1899999999999995</v>
      </c>
    </row>
    <row r="61" spans="1:33" s="27" customFormat="1" ht="10.5" customHeight="1" x14ac:dyDescent="0.3">
      <c r="A61" s="220" t="s">
        <v>46</v>
      </c>
      <c r="B61" s="221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1:33" s="156" customFormat="1" ht="10.5" customHeight="1" x14ac:dyDescent="0.25">
      <c r="A62" s="175"/>
      <c r="B62" s="175" t="s">
        <v>216</v>
      </c>
      <c r="C62" s="175">
        <v>50</v>
      </c>
      <c r="D62" s="175"/>
      <c r="E62" s="175"/>
      <c r="F62" s="175"/>
      <c r="G62" s="175"/>
      <c r="H62" s="175"/>
      <c r="I62" s="175"/>
      <c r="J62" s="175"/>
      <c r="K62" s="175">
        <v>46</v>
      </c>
      <c r="L62" s="175">
        <v>10</v>
      </c>
      <c r="M62" s="175"/>
      <c r="N62" s="175">
        <v>6</v>
      </c>
      <c r="O62" s="175"/>
      <c r="P62" s="175"/>
      <c r="Q62" s="175"/>
      <c r="R62" s="175"/>
      <c r="S62" s="175"/>
      <c r="T62" s="175"/>
      <c r="U62" s="175"/>
      <c r="V62" s="175"/>
      <c r="W62" s="173">
        <v>10</v>
      </c>
      <c r="X62" s="175">
        <v>6</v>
      </c>
      <c r="Y62" s="175"/>
      <c r="Z62" s="175"/>
      <c r="AA62" s="175"/>
      <c r="AB62" s="175"/>
      <c r="AC62" s="175"/>
      <c r="AD62" s="175"/>
      <c r="AE62" s="175"/>
      <c r="AF62" s="175"/>
      <c r="AG62" s="175">
        <v>1</v>
      </c>
    </row>
    <row r="63" spans="1:33" s="156" customFormat="1" ht="10.5" customHeight="1" x14ac:dyDescent="0.25">
      <c r="A63" s="175"/>
      <c r="B63" s="176" t="s">
        <v>212</v>
      </c>
      <c r="C63" s="176">
        <v>80</v>
      </c>
      <c r="D63" s="176">
        <v>17</v>
      </c>
      <c r="E63" s="176"/>
      <c r="F63" s="176"/>
      <c r="G63" s="176"/>
      <c r="H63" s="176"/>
      <c r="I63" s="176"/>
      <c r="J63" s="176"/>
      <c r="K63" s="176"/>
      <c r="L63" s="176">
        <v>44</v>
      </c>
      <c r="M63" s="176"/>
      <c r="N63" s="176">
        <v>25</v>
      </c>
      <c r="O63" s="176"/>
      <c r="P63" s="176"/>
      <c r="Q63" s="176"/>
      <c r="R63" s="176"/>
      <c r="S63" s="176"/>
      <c r="T63" s="176"/>
      <c r="U63" s="176"/>
      <c r="V63" s="176"/>
      <c r="W63" s="166"/>
      <c r="X63" s="176">
        <v>4</v>
      </c>
      <c r="Y63" s="176"/>
      <c r="Z63" s="176"/>
      <c r="AA63" s="176"/>
      <c r="AB63" s="176"/>
      <c r="AC63" s="176"/>
      <c r="AD63" s="176"/>
      <c r="AE63" s="176"/>
      <c r="AF63" s="176"/>
      <c r="AG63" s="176">
        <v>0.25</v>
      </c>
    </row>
    <row r="64" spans="1:33" s="47" customFormat="1" ht="10.5" customHeight="1" x14ac:dyDescent="0.25">
      <c r="A64" s="45">
        <v>185</v>
      </c>
      <c r="B64" s="167" t="s">
        <v>137</v>
      </c>
      <c r="C64" s="167">
        <v>150</v>
      </c>
      <c r="D64" s="46">
        <v>126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166">
        <v>15</v>
      </c>
      <c r="V64" s="46"/>
      <c r="W64" s="46"/>
      <c r="X64" s="46">
        <v>4</v>
      </c>
      <c r="Y64" s="46"/>
      <c r="Z64" s="46"/>
      <c r="AA64" s="46"/>
      <c r="AB64" s="46"/>
      <c r="AC64" s="46"/>
      <c r="AD64" s="173">
        <v>5</v>
      </c>
      <c r="AE64" s="46"/>
      <c r="AF64" s="46"/>
      <c r="AG64" s="166">
        <v>0.5</v>
      </c>
    </row>
    <row r="65" spans="1:33" s="49" customFormat="1" ht="10.5" customHeight="1" x14ac:dyDescent="0.25">
      <c r="A65" s="48">
        <v>395</v>
      </c>
      <c r="B65" s="48" t="s">
        <v>32</v>
      </c>
      <c r="C65" s="48">
        <v>180</v>
      </c>
      <c r="D65" s="45">
        <v>90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170">
        <v>4</v>
      </c>
      <c r="AD65" s="173">
        <v>5</v>
      </c>
      <c r="AE65" s="45"/>
      <c r="AF65" s="45"/>
      <c r="AG65" s="45"/>
    </row>
    <row r="66" spans="1:33" s="47" customFormat="1" ht="10.5" customHeight="1" x14ac:dyDescent="0.25">
      <c r="A66" s="48"/>
      <c r="B66" s="48" t="s">
        <v>160</v>
      </c>
      <c r="C66" s="45">
        <v>50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>
        <v>50</v>
      </c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</row>
    <row r="67" spans="1:33" s="47" customFormat="1" ht="10.5" customHeight="1" x14ac:dyDescent="0.25">
      <c r="A67" s="48"/>
      <c r="B67" s="45"/>
      <c r="C67" s="57">
        <f>SUM(C62:C66)</f>
        <v>510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</row>
    <row r="68" spans="1:33" s="47" customFormat="1" ht="10.5" customHeight="1" x14ac:dyDescent="0.25">
      <c r="A68" s="48" t="s">
        <v>53</v>
      </c>
      <c r="B68" s="48" t="s">
        <v>164</v>
      </c>
      <c r="C68" s="48">
        <v>200</v>
      </c>
      <c r="D68" s="46">
        <v>200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</row>
    <row r="69" spans="1:33" s="49" customFormat="1" ht="10.5" customHeight="1" x14ac:dyDescent="0.25">
      <c r="A69" s="48" t="s">
        <v>53</v>
      </c>
      <c r="B69" s="48" t="s">
        <v>163</v>
      </c>
      <c r="C69" s="48">
        <v>20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>
        <v>20</v>
      </c>
      <c r="AA69" s="46"/>
      <c r="AB69" s="46"/>
      <c r="AC69" s="46"/>
      <c r="AD69" s="46"/>
      <c r="AE69" s="46"/>
      <c r="AF69" s="46"/>
      <c r="AG69" s="46"/>
    </row>
    <row r="70" spans="1:33" s="49" customFormat="1" ht="10.5" customHeight="1" x14ac:dyDescent="0.25">
      <c r="A70" s="45"/>
      <c r="B70" s="69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</row>
    <row r="71" spans="1:33" s="155" customFormat="1" ht="10.5" customHeight="1" x14ac:dyDescent="0.25">
      <c r="A71" s="169">
        <v>3.6</v>
      </c>
      <c r="B71" s="169" t="s">
        <v>198</v>
      </c>
      <c r="C71" s="169">
        <v>60</v>
      </c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>
        <v>57</v>
      </c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7">
        <v>3.6</v>
      </c>
      <c r="Z71" s="169"/>
      <c r="AA71" s="169"/>
      <c r="AB71" s="169"/>
      <c r="AC71" s="169"/>
      <c r="AD71" s="169"/>
      <c r="AE71" s="169"/>
      <c r="AF71" s="169"/>
      <c r="AG71" s="169">
        <v>5.2999999999999999E-2</v>
      </c>
    </row>
    <row r="72" spans="1:33" s="155" customFormat="1" ht="10.5" customHeight="1" x14ac:dyDescent="0.25">
      <c r="A72" s="169">
        <v>71</v>
      </c>
      <c r="B72" s="169" t="s">
        <v>112</v>
      </c>
      <c r="C72" s="169">
        <v>200</v>
      </c>
      <c r="D72" s="169"/>
      <c r="E72" s="169"/>
      <c r="F72" s="169"/>
      <c r="G72" s="169"/>
      <c r="H72" s="169"/>
      <c r="I72" s="169"/>
      <c r="J72" s="169"/>
      <c r="K72" s="169"/>
      <c r="L72" s="169"/>
      <c r="M72" s="169">
        <v>20</v>
      </c>
      <c r="N72" s="169">
        <v>56.8</v>
      </c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>
        <v>4</v>
      </c>
      <c r="Z72" s="169"/>
      <c r="AA72" s="169"/>
      <c r="AB72" s="169"/>
      <c r="AC72" s="169"/>
      <c r="AD72" s="169"/>
      <c r="AE72" s="169"/>
      <c r="AF72" s="169"/>
      <c r="AG72" s="169">
        <v>1.1000000000000001</v>
      </c>
    </row>
    <row r="73" spans="1:33" s="49" customFormat="1" ht="10.5" customHeight="1" x14ac:dyDescent="0.25">
      <c r="A73" s="48">
        <v>277</v>
      </c>
      <c r="B73" s="48" t="s">
        <v>180</v>
      </c>
      <c r="C73" s="48">
        <v>120</v>
      </c>
      <c r="D73" s="45"/>
      <c r="E73" s="45"/>
      <c r="F73" s="45"/>
      <c r="G73" s="45"/>
      <c r="H73" s="45">
        <v>96.7</v>
      </c>
      <c r="I73" s="45"/>
      <c r="J73" s="45"/>
      <c r="K73" s="45"/>
      <c r="L73" s="45"/>
      <c r="M73" s="45"/>
      <c r="N73" s="45">
        <v>23.6</v>
      </c>
      <c r="O73" s="45"/>
      <c r="P73" s="45"/>
      <c r="Q73" s="45"/>
      <c r="R73" s="45"/>
      <c r="S73" s="45"/>
      <c r="T73" s="45"/>
      <c r="U73" s="45"/>
      <c r="V73" s="45"/>
      <c r="W73" s="45">
        <v>4</v>
      </c>
      <c r="X73" s="45">
        <v>5</v>
      </c>
      <c r="Y73" s="45"/>
      <c r="Z73" s="45"/>
      <c r="AA73" s="45"/>
      <c r="AB73" s="45"/>
      <c r="AC73" s="45"/>
      <c r="AD73" s="45"/>
      <c r="AE73" s="45"/>
      <c r="AF73" s="45"/>
      <c r="AG73" s="45">
        <v>1</v>
      </c>
    </row>
    <row r="74" spans="1:33" s="49" customFormat="1" ht="10.5" customHeight="1" x14ac:dyDescent="0.25">
      <c r="A74" s="48">
        <v>313</v>
      </c>
      <c r="B74" s="48" t="s">
        <v>136</v>
      </c>
      <c r="C74" s="48">
        <v>100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>
        <v>40</v>
      </c>
      <c r="V74" s="45"/>
      <c r="W74" s="45"/>
      <c r="X74" s="45">
        <v>3</v>
      </c>
      <c r="Y74" s="45"/>
      <c r="Z74" s="45"/>
      <c r="AA74" s="45"/>
      <c r="AB74" s="45"/>
      <c r="AC74" s="45"/>
      <c r="AD74" s="45"/>
      <c r="AE74" s="45"/>
      <c r="AF74" s="45"/>
      <c r="AG74" s="45">
        <v>0.2</v>
      </c>
    </row>
    <row r="75" spans="1:33" s="47" customFormat="1" ht="10.5" customHeight="1" x14ac:dyDescent="0.25">
      <c r="A75" s="48">
        <v>384</v>
      </c>
      <c r="B75" s="48" t="s">
        <v>147</v>
      </c>
      <c r="C75" s="48">
        <v>180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>
        <v>54</v>
      </c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169">
        <v>10</v>
      </c>
      <c r="AE75" s="45"/>
      <c r="AF75" s="45">
        <v>9</v>
      </c>
      <c r="AG75" s="45"/>
    </row>
    <row r="76" spans="1:33" s="49" customFormat="1" ht="10.5" customHeight="1" x14ac:dyDescent="0.25">
      <c r="A76" s="48"/>
      <c r="B76" s="48" t="s">
        <v>34</v>
      </c>
      <c r="C76" s="48">
        <v>40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>
        <v>40</v>
      </c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</row>
    <row r="77" spans="1:33" s="49" customFormat="1" ht="10.5" customHeight="1" x14ac:dyDescent="0.25">
      <c r="A77" s="45"/>
      <c r="B77" s="69"/>
      <c r="C77" s="57">
        <f>SUM(C71:C76)</f>
        <v>700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</row>
    <row r="78" spans="1:33" s="49" customFormat="1" ht="10.5" customHeight="1" x14ac:dyDescent="0.25">
      <c r="A78" s="48">
        <v>55</v>
      </c>
      <c r="B78" s="48" t="s">
        <v>106</v>
      </c>
      <c r="C78" s="48">
        <v>60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>
        <v>59</v>
      </c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>
        <v>3</v>
      </c>
      <c r="Z78" s="45"/>
      <c r="AA78" s="45"/>
      <c r="AB78" s="45"/>
      <c r="AC78" s="45"/>
      <c r="AD78" s="45">
        <v>0.72</v>
      </c>
      <c r="AE78" s="45"/>
      <c r="AF78" s="45"/>
      <c r="AG78" s="45">
        <v>0.5</v>
      </c>
    </row>
    <row r="79" spans="1:33" s="49" customFormat="1" ht="10.5" customHeight="1" x14ac:dyDescent="0.25">
      <c r="A79" s="48">
        <v>261</v>
      </c>
      <c r="B79" s="48" t="s">
        <v>123</v>
      </c>
      <c r="C79" s="48">
        <v>80</v>
      </c>
      <c r="D79" s="45">
        <v>22</v>
      </c>
      <c r="E79" s="45"/>
      <c r="F79" s="45"/>
      <c r="G79" s="45"/>
      <c r="H79" s="45"/>
      <c r="I79" s="45"/>
      <c r="J79" s="45">
        <v>54</v>
      </c>
      <c r="K79" s="45"/>
      <c r="L79" s="45"/>
      <c r="M79" s="45"/>
      <c r="N79" s="45"/>
      <c r="O79" s="45"/>
      <c r="P79" s="45"/>
      <c r="Q79" s="45"/>
      <c r="R79" s="45"/>
      <c r="S79" s="45"/>
      <c r="T79" s="45">
        <v>13</v>
      </c>
      <c r="U79" s="45"/>
      <c r="V79" s="45"/>
      <c r="W79" s="45">
        <v>5</v>
      </c>
      <c r="X79" s="45"/>
      <c r="Y79" s="45">
        <v>3</v>
      </c>
      <c r="Z79" s="45"/>
      <c r="AA79" s="45"/>
      <c r="AB79" s="45"/>
      <c r="AC79" s="45"/>
      <c r="AD79" s="45"/>
      <c r="AE79" s="45"/>
      <c r="AF79" s="45"/>
      <c r="AG79" s="170">
        <v>0.5</v>
      </c>
    </row>
    <row r="80" spans="1:33" s="49" customFormat="1" ht="10.5" customHeight="1" x14ac:dyDescent="0.25">
      <c r="A80" s="48">
        <v>319</v>
      </c>
      <c r="B80" s="48" t="s">
        <v>92</v>
      </c>
      <c r="C80" s="48">
        <v>120</v>
      </c>
      <c r="D80" s="45">
        <v>40</v>
      </c>
      <c r="E80" s="45"/>
      <c r="F80" s="45"/>
      <c r="G80" s="45"/>
      <c r="H80" s="45"/>
      <c r="I80" s="45"/>
      <c r="J80" s="45"/>
      <c r="K80" s="45"/>
      <c r="L80" s="45"/>
      <c r="M80" s="45">
        <v>90</v>
      </c>
      <c r="N80" s="45"/>
      <c r="O80" s="45"/>
      <c r="P80" s="45"/>
      <c r="Q80" s="45"/>
      <c r="R80" s="45"/>
      <c r="S80" s="45"/>
      <c r="T80" s="45"/>
      <c r="U80" s="45"/>
      <c r="V80" s="45"/>
      <c r="W80" s="45">
        <v>1.2</v>
      </c>
      <c r="X80" s="45">
        <v>2.4</v>
      </c>
      <c r="Y80" s="45"/>
      <c r="Z80" s="45"/>
      <c r="AA80" s="45"/>
      <c r="AB80" s="45"/>
      <c r="AC80" s="45"/>
      <c r="AD80" s="45"/>
      <c r="AE80" s="45"/>
      <c r="AF80" s="45"/>
      <c r="AG80" s="169">
        <v>0.5</v>
      </c>
    </row>
    <row r="81" spans="1:34" s="47" customFormat="1" ht="10.5" customHeight="1" x14ac:dyDescent="0.25">
      <c r="A81" s="48">
        <v>494</v>
      </c>
      <c r="B81" s="48" t="s">
        <v>162</v>
      </c>
      <c r="C81" s="48">
        <v>35</v>
      </c>
      <c r="D81" s="46"/>
      <c r="E81" s="46"/>
      <c r="F81" s="46"/>
      <c r="G81" s="46"/>
      <c r="H81" s="46"/>
      <c r="I81" s="46"/>
      <c r="J81" s="46"/>
      <c r="K81" s="46"/>
      <c r="L81" s="166">
        <v>0.72</v>
      </c>
      <c r="M81" s="166"/>
      <c r="N81" s="46"/>
      <c r="O81" s="46"/>
      <c r="P81" s="46"/>
      <c r="Q81" s="46"/>
      <c r="R81" s="46"/>
      <c r="S81" s="46"/>
      <c r="T81" s="46"/>
      <c r="U81" s="46"/>
      <c r="V81" s="46"/>
      <c r="W81" s="166">
        <v>17.91</v>
      </c>
      <c r="X81" s="46"/>
      <c r="Y81" s="46">
        <v>0.25</v>
      </c>
      <c r="Z81" s="173">
        <v>12</v>
      </c>
      <c r="AA81" s="46"/>
      <c r="AB81" s="46"/>
      <c r="AC81" s="46"/>
      <c r="AD81" s="166">
        <v>1.2</v>
      </c>
      <c r="AE81" s="46">
        <v>0.51</v>
      </c>
      <c r="AF81" s="46"/>
      <c r="AG81" s="166">
        <v>0.27</v>
      </c>
    </row>
    <row r="82" spans="1:34" s="49" customFormat="1" ht="10.5" customHeight="1" x14ac:dyDescent="0.25">
      <c r="A82" s="67">
        <v>394</v>
      </c>
      <c r="B82" s="48" t="s">
        <v>47</v>
      </c>
      <c r="C82" s="48">
        <v>180</v>
      </c>
      <c r="D82" s="48">
        <v>90</v>
      </c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167">
        <v>0.84</v>
      </c>
      <c r="AB82" s="45"/>
      <c r="AC82" s="45"/>
      <c r="AD82" s="169">
        <v>5</v>
      </c>
      <c r="AE82" s="45"/>
      <c r="AF82" s="45"/>
      <c r="AG82" s="45"/>
      <c r="AH82" s="45"/>
    </row>
    <row r="83" spans="1:34" s="49" customFormat="1" ht="10.5" customHeight="1" x14ac:dyDescent="0.25">
      <c r="A83" s="48"/>
      <c r="B83" s="48" t="s">
        <v>34</v>
      </c>
      <c r="C83" s="48">
        <v>30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>
        <v>30</v>
      </c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</row>
    <row r="84" spans="1:34" s="49" customFormat="1" ht="10.5" customHeight="1" x14ac:dyDescent="0.25">
      <c r="A84" s="48" t="s">
        <v>53</v>
      </c>
      <c r="B84" s="48" t="s">
        <v>146</v>
      </c>
      <c r="C84" s="170">
        <v>50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>
        <v>50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</row>
    <row r="85" spans="1:34" s="18" customFormat="1" ht="10.5" customHeight="1" x14ac:dyDescent="0.25">
      <c r="A85" s="22"/>
      <c r="B85" s="22"/>
      <c r="C85" s="42">
        <f>SUM(C78:C84)</f>
        <v>555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45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1:34" s="11" customFormat="1" ht="10.5" customHeight="1" x14ac:dyDescent="0.25">
      <c r="A86" s="9"/>
      <c r="B86" s="17" t="s">
        <v>86</v>
      </c>
      <c r="C86" s="9"/>
      <c r="D86" s="9">
        <f>SUM(D62:D84:D85)</f>
        <v>585</v>
      </c>
      <c r="E86" s="9">
        <f t="shared" ref="E86:J86" si="2">SUM(E64:E85)</f>
        <v>0</v>
      </c>
      <c r="F86" s="9">
        <f t="shared" si="2"/>
        <v>0</v>
      </c>
      <c r="G86" s="9">
        <f t="shared" si="2"/>
        <v>0</v>
      </c>
      <c r="H86" s="9">
        <f t="shared" si="2"/>
        <v>96.7</v>
      </c>
      <c r="I86" s="9">
        <f t="shared" si="2"/>
        <v>0</v>
      </c>
      <c r="J86" s="9">
        <f t="shared" si="2"/>
        <v>54</v>
      </c>
      <c r="K86" s="9">
        <f>SUM(K62:K85)</f>
        <v>46</v>
      </c>
      <c r="L86" s="9">
        <f>SUM(L62:L85)</f>
        <v>54.72</v>
      </c>
      <c r="M86" s="9">
        <f t="shared" ref="M86:W86" si="3">SUM(M64:M85)</f>
        <v>110</v>
      </c>
      <c r="N86" s="9">
        <f t="shared" si="3"/>
        <v>196.4</v>
      </c>
      <c r="O86" s="9">
        <f t="shared" si="3"/>
        <v>50</v>
      </c>
      <c r="P86" s="9">
        <f t="shared" si="3"/>
        <v>0</v>
      </c>
      <c r="Q86" s="9">
        <f t="shared" si="3"/>
        <v>54</v>
      </c>
      <c r="R86" s="9">
        <f t="shared" si="3"/>
        <v>0</v>
      </c>
      <c r="S86" s="9">
        <f t="shared" si="3"/>
        <v>50</v>
      </c>
      <c r="T86" s="9">
        <f t="shared" si="3"/>
        <v>83</v>
      </c>
      <c r="U86" s="9">
        <f t="shared" si="3"/>
        <v>55</v>
      </c>
      <c r="V86" s="9">
        <f t="shared" si="3"/>
        <v>0</v>
      </c>
      <c r="W86" s="9">
        <f t="shared" si="3"/>
        <v>28.11</v>
      </c>
      <c r="X86" s="9">
        <f>SUM(X62:X84)</f>
        <v>24.4</v>
      </c>
      <c r="Y86" s="9">
        <f t="shared" ref="Y86:AG86" si="4">SUM(Y64:Y85)</f>
        <v>13.85</v>
      </c>
      <c r="Z86" s="9">
        <f t="shared" si="4"/>
        <v>32</v>
      </c>
      <c r="AA86" s="9">
        <f t="shared" si="4"/>
        <v>0.84</v>
      </c>
      <c r="AB86" s="9">
        <f t="shared" si="4"/>
        <v>0</v>
      </c>
      <c r="AC86" s="9">
        <f t="shared" si="4"/>
        <v>4</v>
      </c>
      <c r="AD86" s="9">
        <f t="shared" si="4"/>
        <v>26.919999999999998</v>
      </c>
      <c r="AE86" s="9">
        <f t="shared" si="4"/>
        <v>0.51</v>
      </c>
      <c r="AF86" s="9">
        <f t="shared" si="4"/>
        <v>9</v>
      </c>
      <c r="AG86" s="9">
        <f t="shared" si="4"/>
        <v>4.6229999999999993</v>
      </c>
    </row>
    <row r="87" spans="1:34" ht="10.5" customHeight="1" x14ac:dyDescent="0.3">
      <c r="A87" s="224" t="s">
        <v>49</v>
      </c>
      <c r="B87" s="225"/>
    </row>
    <row r="88" spans="1:34" s="47" customFormat="1" ht="10.5" customHeight="1" x14ac:dyDescent="0.25">
      <c r="A88" s="48">
        <v>7</v>
      </c>
      <c r="B88" s="48" t="s">
        <v>165</v>
      </c>
      <c r="C88" s="48">
        <v>15</v>
      </c>
      <c r="D88" s="46"/>
      <c r="E88" s="46"/>
      <c r="F88" s="46"/>
      <c r="G88" s="46">
        <v>15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</row>
    <row r="89" spans="1:34" s="178" customFormat="1" ht="10.5" customHeight="1" x14ac:dyDescent="0.25">
      <c r="A89" s="170">
        <v>101</v>
      </c>
      <c r="B89" s="177" t="s">
        <v>166</v>
      </c>
      <c r="C89" s="170">
        <v>200</v>
      </c>
      <c r="D89" s="170">
        <v>200</v>
      </c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>
        <v>12</v>
      </c>
      <c r="V89" s="170"/>
      <c r="W89" s="170"/>
      <c r="X89" s="170">
        <v>2</v>
      </c>
      <c r="Y89" s="170"/>
      <c r="Z89" s="170"/>
      <c r="AA89" s="170"/>
      <c r="AB89" s="170"/>
      <c r="AC89" s="170"/>
      <c r="AD89" s="170">
        <v>3</v>
      </c>
      <c r="AE89" s="170"/>
      <c r="AF89" s="170"/>
      <c r="AG89" s="170">
        <v>0.5</v>
      </c>
    </row>
    <row r="90" spans="1:34" s="47" customFormat="1" ht="10.5" customHeight="1" x14ac:dyDescent="0.25">
      <c r="A90" s="48">
        <v>394</v>
      </c>
      <c r="B90" s="48" t="s">
        <v>47</v>
      </c>
      <c r="C90" s="48">
        <v>180</v>
      </c>
      <c r="D90" s="46">
        <v>90</v>
      </c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166">
        <v>0.84</v>
      </c>
      <c r="AB90" s="46"/>
      <c r="AC90" s="46"/>
      <c r="AD90" s="169">
        <v>5</v>
      </c>
      <c r="AE90" s="46"/>
      <c r="AF90" s="46"/>
      <c r="AG90" s="46"/>
    </row>
    <row r="91" spans="1:34" s="47" customFormat="1" ht="10.5" customHeight="1" x14ac:dyDescent="0.25">
      <c r="A91" s="48"/>
      <c r="B91" s="48" t="s">
        <v>34</v>
      </c>
      <c r="C91" s="48">
        <v>40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>
        <v>40</v>
      </c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</row>
    <row r="92" spans="1:34" s="71" customFormat="1" ht="10.5" customHeight="1" x14ac:dyDescent="0.25">
      <c r="A92" s="51"/>
      <c r="B92" s="48" t="s">
        <v>151</v>
      </c>
      <c r="C92" s="48">
        <v>100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>
        <v>100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</row>
    <row r="93" spans="1:34" s="47" customFormat="1" ht="10.5" customHeight="1" x14ac:dyDescent="0.25">
      <c r="A93" s="51"/>
      <c r="B93" s="51"/>
      <c r="C93" s="70">
        <f>SUM(C88:C92)</f>
        <v>535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</row>
    <row r="94" spans="1:34" s="47" customFormat="1" ht="10.5" customHeight="1" x14ac:dyDescent="0.25">
      <c r="A94" s="45">
        <v>399</v>
      </c>
      <c r="B94" s="45" t="s">
        <v>167</v>
      </c>
      <c r="C94" s="45">
        <v>165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>
        <v>165</v>
      </c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</row>
    <row r="96" spans="1:34" s="71" customFormat="1" ht="10.5" customHeight="1" x14ac:dyDescent="0.25">
      <c r="A96" s="51"/>
      <c r="B96" s="48"/>
      <c r="C96" s="48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1:33" s="168" customFormat="1" ht="10.5" customHeight="1" x14ac:dyDescent="0.25">
      <c r="A97" s="169" t="s">
        <v>53</v>
      </c>
      <c r="B97" s="169" t="s">
        <v>109</v>
      </c>
      <c r="C97" s="169">
        <v>60</v>
      </c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>
        <v>54.6</v>
      </c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>
        <v>3</v>
      </c>
      <c r="Z97" s="169"/>
      <c r="AA97" s="169"/>
      <c r="AB97" s="169"/>
      <c r="AC97" s="169"/>
      <c r="AD97" s="169">
        <v>2.25</v>
      </c>
      <c r="AE97" s="169"/>
      <c r="AF97" s="169"/>
      <c r="AG97" s="169"/>
    </row>
    <row r="98" spans="1:33" s="168" customFormat="1" ht="10.5" customHeight="1" x14ac:dyDescent="0.25">
      <c r="A98" s="169"/>
      <c r="B98" s="169" t="s">
        <v>129</v>
      </c>
      <c r="C98" s="169">
        <v>200</v>
      </c>
      <c r="D98" s="169"/>
      <c r="E98" s="169"/>
      <c r="F98" s="169"/>
      <c r="G98" s="169"/>
      <c r="H98" s="169"/>
      <c r="I98" s="169"/>
      <c r="J98" s="169"/>
      <c r="K98" s="169"/>
      <c r="L98" s="169"/>
      <c r="M98" s="169">
        <v>19</v>
      </c>
      <c r="N98" s="169">
        <v>9.1999999999999993</v>
      </c>
      <c r="O98" s="169"/>
      <c r="P98" s="169"/>
      <c r="Q98" s="169"/>
      <c r="R98" s="169"/>
      <c r="S98" s="169"/>
      <c r="T98" s="169"/>
      <c r="U98" s="169"/>
      <c r="V98" s="169">
        <v>17.600000000000001</v>
      </c>
      <c r="W98" s="169">
        <v>12</v>
      </c>
      <c r="X98" s="169"/>
      <c r="Y98" s="169">
        <v>4</v>
      </c>
      <c r="Z98" s="169"/>
      <c r="AA98" s="169"/>
      <c r="AB98" s="169"/>
      <c r="AC98" s="169"/>
      <c r="AD98" s="169"/>
      <c r="AE98" s="169"/>
      <c r="AF98" s="169"/>
      <c r="AG98" s="169">
        <v>1.1000000000000001</v>
      </c>
    </row>
    <row r="99" spans="1:33" s="47" customFormat="1" ht="10.5" customHeight="1" x14ac:dyDescent="0.25">
      <c r="A99" s="48"/>
      <c r="B99" s="48" t="s">
        <v>127</v>
      </c>
      <c r="C99" s="48">
        <v>80</v>
      </c>
      <c r="D99" s="46"/>
      <c r="E99" s="46"/>
      <c r="F99" s="46"/>
      <c r="G99" s="46"/>
      <c r="H99" s="46">
        <v>88</v>
      </c>
      <c r="I99" s="46"/>
      <c r="J99" s="46"/>
      <c r="K99" s="46"/>
      <c r="L99" s="46">
        <v>10</v>
      </c>
      <c r="M99" s="46"/>
      <c r="N99" s="46"/>
      <c r="O99" s="46"/>
      <c r="P99" s="46"/>
      <c r="Q99" s="46"/>
      <c r="R99" s="46"/>
      <c r="S99" s="46"/>
      <c r="T99" s="46"/>
      <c r="U99" s="166">
        <v>23</v>
      </c>
      <c r="V99" s="46"/>
      <c r="W99" s="46"/>
      <c r="X99" s="46">
        <v>1</v>
      </c>
      <c r="Y99" s="46"/>
      <c r="Z99" s="46"/>
      <c r="AA99" s="46"/>
      <c r="AB99" s="46"/>
      <c r="AC99" s="46"/>
      <c r="AD99" s="46"/>
      <c r="AE99" s="46"/>
      <c r="AF99" s="46"/>
      <c r="AG99" s="166">
        <v>1.1000000000000001</v>
      </c>
    </row>
    <row r="100" spans="1:33" s="47" customFormat="1" ht="10.5" customHeight="1" x14ac:dyDescent="0.25">
      <c r="A100" s="46"/>
      <c r="B100" s="46" t="s">
        <v>132</v>
      </c>
      <c r="C100" s="46">
        <v>120</v>
      </c>
      <c r="D100" s="46"/>
      <c r="E100" s="46"/>
      <c r="F100" s="46">
        <v>18</v>
      </c>
      <c r="G100" s="46"/>
      <c r="H100" s="46"/>
      <c r="I100" s="46"/>
      <c r="J100" s="46"/>
      <c r="K100" s="46"/>
      <c r="L100" s="46"/>
      <c r="M100" s="46">
        <f>20*1.2</f>
        <v>24</v>
      </c>
      <c r="N100" s="166">
        <v>86.4</v>
      </c>
      <c r="O100" s="46"/>
      <c r="P100" s="46"/>
      <c r="Q100" s="46"/>
      <c r="R100" s="46"/>
      <c r="S100" s="46"/>
      <c r="T100" s="46"/>
      <c r="U100" s="46"/>
      <c r="V100" s="46"/>
      <c r="W100" s="46">
        <v>1.6</v>
      </c>
      <c r="X100" s="46">
        <v>5.8</v>
      </c>
      <c r="Y100" s="46"/>
      <c r="Z100" s="46"/>
      <c r="AA100" s="46"/>
      <c r="AB100" s="46"/>
      <c r="AC100" s="46"/>
      <c r="AD100" s="46"/>
      <c r="AE100" s="46"/>
      <c r="AF100" s="46"/>
      <c r="AG100" s="166">
        <v>1.2</v>
      </c>
    </row>
    <row r="101" spans="1:33" s="47" customFormat="1" ht="10.5" customHeight="1" x14ac:dyDescent="0.25">
      <c r="A101" s="48">
        <v>376</v>
      </c>
      <c r="B101" s="48" t="s">
        <v>168</v>
      </c>
      <c r="C101" s="48">
        <v>200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166">
        <v>20</v>
      </c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179">
        <v>10</v>
      </c>
      <c r="AE101" s="46"/>
      <c r="AF101" s="46"/>
      <c r="AG101" s="46"/>
    </row>
    <row r="102" spans="1:33" s="47" customFormat="1" ht="10.5" customHeight="1" x14ac:dyDescent="0.25">
      <c r="A102" s="48"/>
      <c r="B102" s="48" t="s">
        <v>160</v>
      </c>
      <c r="C102" s="48">
        <v>50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>
        <v>50</v>
      </c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</row>
    <row r="103" spans="1:33" s="47" customFormat="1" ht="10.5" customHeight="1" x14ac:dyDescent="0.25">
      <c r="A103" s="46"/>
      <c r="B103" s="46"/>
      <c r="C103" s="60">
        <f>SUM(C97:C102)</f>
        <v>710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</row>
    <row r="104" spans="1:33" s="168" customFormat="1" ht="10.5" customHeight="1" x14ac:dyDescent="0.25">
      <c r="A104" s="169">
        <v>39</v>
      </c>
      <c r="B104" s="169" t="s">
        <v>152</v>
      </c>
      <c r="C104" s="169">
        <v>60</v>
      </c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7">
        <v>31.8</v>
      </c>
      <c r="O104" s="167">
        <v>25.8</v>
      </c>
      <c r="P104" s="169"/>
      <c r="Q104" s="169"/>
      <c r="R104" s="169"/>
      <c r="S104" s="169"/>
      <c r="T104" s="169"/>
      <c r="U104" s="169"/>
      <c r="V104" s="169"/>
      <c r="W104" s="169"/>
      <c r="X104" s="169"/>
      <c r="Y104" s="167">
        <v>3</v>
      </c>
      <c r="Z104" s="169"/>
      <c r="AA104" s="169"/>
      <c r="AB104" s="169"/>
      <c r="AC104" s="169"/>
      <c r="AD104" s="167">
        <v>1.5</v>
      </c>
      <c r="AE104" s="169"/>
      <c r="AF104" s="169"/>
      <c r="AG104" s="169"/>
    </row>
    <row r="105" spans="1:33" s="59" customFormat="1" ht="9.75" customHeight="1" x14ac:dyDescent="0.25">
      <c r="A105" s="48">
        <v>238</v>
      </c>
      <c r="B105" s="48" t="s">
        <v>169</v>
      </c>
      <c r="C105" s="48">
        <v>150</v>
      </c>
      <c r="D105" s="48">
        <f>18*1.5</f>
        <v>27</v>
      </c>
      <c r="E105" s="48">
        <f>54*1.5</f>
        <v>81</v>
      </c>
      <c r="F105" s="48">
        <v>6</v>
      </c>
      <c r="G105" s="48"/>
      <c r="H105" s="48"/>
      <c r="I105" s="48"/>
      <c r="J105" s="48"/>
      <c r="K105" s="48"/>
      <c r="L105" s="48">
        <v>7</v>
      </c>
      <c r="M105" s="48"/>
      <c r="N105" s="48">
        <v>16.3</v>
      </c>
      <c r="O105" s="48"/>
      <c r="P105" s="48"/>
      <c r="Q105" s="48"/>
      <c r="R105" s="48"/>
      <c r="S105" s="48"/>
      <c r="T105" s="48">
        <v>6</v>
      </c>
      <c r="U105" s="48">
        <v>10</v>
      </c>
      <c r="V105" s="48"/>
      <c r="W105" s="48"/>
      <c r="X105" s="48">
        <v>4</v>
      </c>
      <c r="Y105" s="48"/>
      <c r="Z105" s="48"/>
      <c r="AA105" s="48"/>
      <c r="AB105" s="48"/>
      <c r="AC105" s="48"/>
      <c r="AD105" s="169">
        <v>10</v>
      </c>
      <c r="AE105" s="48"/>
      <c r="AF105" s="48"/>
      <c r="AG105" s="48">
        <v>0.44</v>
      </c>
    </row>
    <row r="106" spans="1:33" s="59" customFormat="1" ht="12" customHeight="1" x14ac:dyDescent="0.25">
      <c r="A106" s="48">
        <v>362</v>
      </c>
      <c r="B106" s="48" t="s">
        <v>148</v>
      </c>
      <c r="C106" s="48">
        <v>30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>
        <v>7.68</v>
      </c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>
        <v>3.75</v>
      </c>
      <c r="AE106" s="48"/>
      <c r="AF106" s="48"/>
      <c r="AG106" s="48"/>
    </row>
    <row r="107" spans="1:33" s="49" customFormat="1" ht="10.5" customHeight="1" x14ac:dyDescent="0.25">
      <c r="A107" s="48">
        <v>454</v>
      </c>
      <c r="B107" s="48" t="s">
        <v>170</v>
      </c>
      <c r="C107" s="48">
        <v>35</v>
      </c>
      <c r="D107" s="45"/>
      <c r="E107" s="45"/>
      <c r="F107" s="45"/>
      <c r="G107" s="45"/>
      <c r="H107" s="45"/>
      <c r="I107" s="45"/>
      <c r="J107" s="45"/>
      <c r="K107" s="45"/>
      <c r="L107" s="167">
        <v>0.7</v>
      </c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167">
        <v>17.91</v>
      </c>
      <c r="X107" s="45"/>
      <c r="Y107" s="167">
        <v>0.12</v>
      </c>
      <c r="Z107" s="167">
        <v>12</v>
      </c>
      <c r="AA107" s="45"/>
      <c r="AB107" s="45"/>
      <c r="AC107" s="45"/>
      <c r="AD107" s="45">
        <v>1.2</v>
      </c>
      <c r="AE107" s="167">
        <v>0.51</v>
      </c>
      <c r="AF107" s="45"/>
      <c r="AG107" s="167">
        <v>0.27</v>
      </c>
    </row>
    <row r="108" spans="1:33" s="49" customFormat="1" ht="10.5" customHeight="1" x14ac:dyDescent="0.25">
      <c r="A108" s="48">
        <v>400</v>
      </c>
      <c r="B108" s="48" t="s">
        <v>156</v>
      </c>
      <c r="C108" s="48">
        <v>200</v>
      </c>
      <c r="D108" s="45">
        <v>200</v>
      </c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</row>
    <row r="109" spans="1:33" s="47" customFormat="1" ht="10.5" customHeight="1" x14ac:dyDescent="0.25">
      <c r="A109" s="48"/>
      <c r="B109" s="48" t="s">
        <v>34</v>
      </c>
      <c r="C109" s="48">
        <v>30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>
        <v>30</v>
      </c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</row>
    <row r="110" spans="1:33" s="47" customFormat="1" ht="10.5" customHeight="1" x14ac:dyDescent="0.25">
      <c r="A110" s="48"/>
      <c r="B110" s="48"/>
      <c r="C110" s="48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</row>
    <row r="111" spans="1:33" s="47" customFormat="1" ht="10.5" customHeight="1" x14ac:dyDescent="0.25">
      <c r="A111" s="46"/>
      <c r="B111" s="46"/>
      <c r="C111" s="60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</row>
    <row r="112" spans="1:33" ht="10.5" customHeight="1" x14ac:dyDescent="0.25">
      <c r="A112" s="6"/>
      <c r="B112" s="6"/>
      <c r="C112" s="44">
        <f>SUM(C104:C111)</f>
        <v>505</v>
      </c>
    </row>
    <row r="113" spans="1:33" s="13" customFormat="1" ht="10.5" customHeight="1" x14ac:dyDescent="0.25">
      <c r="A113" s="12"/>
      <c r="B113" s="16" t="s">
        <v>86</v>
      </c>
      <c r="C113" s="12"/>
      <c r="D113" s="8">
        <f t="shared" ref="D113:AG113" si="5">SUM(D88:D111)</f>
        <v>517</v>
      </c>
      <c r="E113" s="8">
        <f t="shared" si="5"/>
        <v>81</v>
      </c>
      <c r="F113" s="8">
        <f t="shared" si="5"/>
        <v>24</v>
      </c>
      <c r="G113" s="8">
        <f t="shared" si="5"/>
        <v>15</v>
      </c>
      <c r="H113" s="8">
        <f t="shared" si="5"/>
        <v>88</v>
      </c>
      <c r="I113" s="8">
        <f t="shared" si="5"/>
        <v>0</v>
      </c>
      <c r="J113" s="8">
        <f t="shared" si="5"/>
        <v>0</v>
      </c>
      <c r="K113" s="8">
        <f t="shared" si="5"/>
        <v>0</v>
      </c>
      <c r="L113" s="8">
        <f t="shared" si="5"/>
        <v>17.7</v>
      </c>
      <c r="M113" s="8">
        <f t="shared" si="5"/>
        <v>43</v>
      </c>
      <c r="N113" s="8">
        <f t="shared" si="5"/>
        <v>198.3</v>
      </c>
      <c r="O113" s="8">
        <f t="shared" si="5"/>
        <v>133.47999999999999</v>
      </c>
      <c r="P113" s="8">
        <f t="shared" si="5"/>
        <v>20</v>
      </c>
      <c r="Q113" s="8">
        <f t="shared" si="5"/>
        <v>0</v>
      </c>
      <c r="R113" s="8">
        <f t="shared" si="5"/>
        <v>165</v>
      </c>
      <c r="S113" s="8">
        <f t="shared" si="5"/>
        <v>50</v>
      </c>
      <c r="T113" s="8">
        <f t="shared" si="5"/>
        <v>76</v>
      </c>
      <c r="U113" s="8">
        <f t="shared" si="5"/>
        <v>45</v>
      </c>
      <c r="V113" s="8">
        <f t="shared" si="5"/>
        <v>17.600000000000001</v>
      </c>
      <c r="W113" s="8">
        <f t="shared" si="5"/>
        <v>31.509999999999998</v>
      </c>
      <c r="X113" s="8">
        <f t="shared" si="5"/>
        <v>12.8</v>
      </c>
      <c r="Y113" s="8">
        <f t="shared" si="5"/>
        <v>10.119999999999999</v>
      </c>
      <c r="Z113" s="8">
        <f t="shared" si="5"/>
        <v>12</v>
      </c>
      <c r="AA113" s="8">
        <f t="shared" si="5"/>
        <v>0.84</v>
      </c>
      <c r="AB113" s="8">
        <f t="shared" si="5"/>
        <v>0</v>
      </c>
      <c r="AC113" s="8">
        <f t="shared" si="5"/>
        <v>0</v>
      </c>
      <c r="AD113" s="8">
        <f t="shared" si="5"/>
        <v>36.700000000000003</v>
      </c>
      <c r="AE113" s="8">
        <f t="shared" si="5"/>
        <v>0.51</v>
      </c>
      <c r="AF113" s="8">
        <f t="shared" si="5"/>
        <v>0</v>
      </c>
      <c r="AG113" s="8">
        <f t="shared" si="5"/>
        <v>4.6100000000000012</v>
      </c>
    </row>
    <row r="115" spans="1:33" s="27" customFormat="1" ht="10.5" customHeight="1" x14ac:dyDescent="0.3">
      <c r="A115" s="220" t="s">
        <v>83</v>
      </c>
      <c r="B115" s="221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</row>
    <row r="116" spans="1:33" s="47" customFormat="1" ht="10.5" customHeight="1" x14ac:dyDescent="0.25">
      <c r="A116" s="48">
        <v>185</v>
      </c>
      <c r="B116" s="167" t="s">
        <v>138</v>
      </c>
      <c r="C116" s="167">
        <v>155</v>
      </c>
      <c r="D116" s="46">
        <f>88*1.5</f>
        <v>132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>
        <f>15.4*1.5</f>
        <v>23.1</v>
      </c>
      <c r="V116" s="46"/>
      <c r="W116" s="46"/>
      <c r="X116" s="46"/>
      <c r="Y116" s="46"/>
      <c r="Z116" s="46"/>
      <c r="AA116" s="46"/>
      <c r="AB116" s="46"/>
      <c r="AC116" s="46"/>
      <c r="AD116" s="179">
        <v>5</v>
      </c>
      <c r="AE116" s="46"/>
      <c r="AF116" s="46"/>
      <c r="AG116" s="46">
        <v>0.5</v>
      </c>
    </row>
    <row r="117" spans="1:33" s="47" customFormat="1" ht="10.5" customHeight="1" x14ac:dyDescent="0.25">
      <c r="A117" s="48">
        <v>232</v>
      </c>
      <c r="B117" s="48" t="s">
        <v>125</v>
      </c>
      <c r="C117" s="48">
        <v>100</v>
      </c>
      <c r="D117" s="46"/>
      <c r="E117" s="46">
        <v>60</v>
      </c>
      <c r="F117" s="46"/>
      <c r="G117" s="46"/>
      <c r="H117" s="46"/>
      <c r="I117" s="46"/>
      <c r="J117" s="46"/>
      <c r="K117" s="46"/>
      <c r="L117" s="46">
        <v>4</v>
      </c>
      <c r="M117" s="46">
        <v>42</v>
      </c>
      <c r="N117" s="46"/>
      <c r="O117" s="46"/>
      <c r="P117" s="46"/>
      <c r="Q117" s="46"/>
      <c r="R117" s="46"/>
      <c r="S117" s="46"/>
      <c r="T117" s="46"/>
      <c r="U117" s="46"/>
      <c r="V117" s="46"/>
      <c r="W117" s="46">
        <v>12</v>
      </c>
      <c r="X117" s="46"/>
      <c r="Y117" s="46">
        <v>2</v>
      </c>
      <c r="Z117" s="46"/>
      <c r="AA117" s="46"/>
      <c r="AB117" s="46"/>
      <c r="AC117" s="46"/>
      <c r="AD117" s="72"/>
      <c r="AE117" s="46"/>
      <c r="AF117" s="46"/>
      <c r="AG117" s="46"/>
    </row>
    <row r="118" spans="1:33" s="178" customFormat="1" ht="10.5" customHeight="1" x14ac:dyDescent="0.25">
      <c r="A118" s="170"/>
      <c r="B118" s="170" t="s">
        <v>221</v>
      </c>
      <c r="C118" s="170">
        <v>60</v>
      </c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>
        <v>57.6</v>
      </c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>
        <v>2.5</v>
      </c>
      <c r="AE118" s="170"/>
      <c r="AF118" s="170"/>
      <c r="AG118" s="170"/>
    </row>
    <row r="119" spans="1:33" s="49" customFormat="1" ht="10.5" customHeight="1" x14ac:dyDescent="0.25">
      <c r="A119" s="48">
        <v>392</v>
      </c>
      <c r="B119" s="48" t="s">
        <v>45</v>
      </c>
      <c r="C119" s="48">
        <v>180</v>
      </c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166">
        <v>0.84</v>
      </c>
      <c r="AB119" s="46"/>
      <c r="AC119" s="46"/>
      <c r="AD119" s="179">
        <v>5</v>
      </c>
      <c r="AE119" s="46"/>
      <c r="AF119" s="46"/>
      <c r="AG119" s="46"/>
    </row>
    <row r="120" spans="1:33" s="47" customFormat="1" ht="10.5" customHeight="1" x14ac:dyDescent="0.25">
      <c r="A120" s="48"/>
      <c r="B120" s="48" t="s">
        <v>34</v>
      </c>
      <c r="C120" s="48">
        <v>30</v>
      </c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>
        <v>30</v>
      </c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</row>
    <row r="121" spans="1:33" s="47" customFormat="1" ht="10.5" customHeight="1" x14ac:dyDescent="0.25">
      <c r="A121" s="46"/>
      <c r="B121" s="46"/>
      <c r="C121" s="60">
        <f>SUM(C116:C120)</f>
        <v>525</v>
      </c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</row>
    <row r="122" spans="1:33" s="47" customFormat="1" ht="10.5" customHeight="1" x14ac:dyDescent="0.25">
      <c r="A122" s="46"/>
      <c r="B122" s="46"/>
      <c r="C122" s="60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</row>
    <row r="123" spans="1:33" s="47" customFormat="1" ht="10.5" customHeight="1" x14ac:dyDescent="0.25">
      <c r="A123" s="48" t="s">
        <v>53</v>
      </c>
      <c r="B123" s="48" t="s">
        <v>42</v>
      </c>
      <c r="C123" s="48">
        <v>165</v>
      </c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>
        <v>165</v>
      </c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</row>
    <row r="124" spans="1:33" s="47" customFormat="1" ht="10.5" customHeight="1" x14ac:dyDescent="0.25">
      <c r="A124" s="46"/>
      <c r="B124" s="48" t="s">
        <v>163</v>
      </c>
      <c r="C124" s="48">
        <v>20</v>
      </c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>
        <v>20</v>
      </c>
      <c r="AA124" s="46"/>
      <c r="AB124" s="46"/>
      <c r="AC124" s="46"/>
      <c r="AD124" s="46"/>
      <c r="AE124" s="46"/>
      <c r="AF124" s="46"/>
      <c r="AG124" s="46"/>
    </row>
    <row r="125" spans="1:33" s="47" customFormat="1" ht="10.5" customHeight="1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</row>
    <row r="126" spans="1:33" s="47" customFormat="1" ht="10.5" customHeight="1" x14ac:dyDescent="0.25">
      <c r="A126" s="48">
        <v>12</v>
      </c>
      <c r="B126" s="48" t="s">
        <v>140</v>
      </c>
      <c r="C126" s="59">
        <v>60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>
        <v>55.8</v>
      </c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>
        <v>3.6</v>
      </c>
      <c r="Z126" s="46"/>
      <c r="AA126" s="46"/>
      <c r="AB126" s="46"/>
      <c r="AC126" s="46"/>
      <c r="AD126" s="46">
        <v>1.2</v>
      </c>
      <c r="AE126" s="46"/>
      <c r="AF126" s="46"/>
      <c r="AG126" s="46"/>
    </row>
    <row r="127" spans="1:33" s="178" customFormat="1" ht="10.5" customHeight="1" x14ac:dyDescent="0.25">
      <c r="A127" s="170">
        <v>57</v>
      </c>
      <c r="B127" s="170" t="s">
        <v>113</v>
      </c>
      <c r="C127" s="180">
        <v>200</v>
      </c>
      <c r="D127" s="170"/>
      <c r="E127" s="170"/>
      <c r="F127" s="170"/>
      <c r="G127" s="170"/>
      <c r="H127" s="170"/>
      <c r="I127" s="170"/>
      <c r="J127" s="170"/>
      <c r="K127" s="170"/>
      <c r="L127" s="170"/>
      <c r="M127" s="170">
        <v>16</v>
      </c>
      <c r="N127" s="170">
        <v>64.400000000000006</v>
      </c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>
        <v>4</v>
      </c>
      <c r="Z127" s="170"/>
      <c r="AA127" s="170"/>
      <c r="AB127" s="170"/>
      <c r="AC127" s="170"/>
      <c r="AD127" s="170">
        <v>2</v>
      </c>
      <c r="AE127" s="170"/>
      <c r="AF127" s="170"/>
      <c r="AG127" s="170">
        <v>1.1000000000000001</v>
      </c>
    </row>
    <row r="128" spans="1:33" s="59" customFormat="1" ht="10.5" customHeight="1" x14ac:dyDescent="0.25">
      <c r="A128" s="48"/>
      <c r="B128" s="48" t="s">
        <v>118</v>
      </c>
      <c r="C128" s="61">
        <v>80</v>
      </c>
      <c r="D128" s="48">
        <v>19</v>
      </c>
      <c r="E128" s="48"/>
      <c r="F128" s="48"/>
      <c r="G128" s="48"/>
      <c r="H128" s="48">
        <v>59</v>
      </c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>
        <f>14+8</f>
        <v>22</v>
      </c>
      <c r="U128" s="48"/>
      <c r="V128" s="48"/>
      <c r="W128" s="48"/>
      <c r="X128" s="48">
        <v>5</v>
      </c>
      <c r="Y128" s="48"/>
      <c r="Z128" s="48"/>
      <c r="AA128" s="48"/>
      <c r="AB128" s="48"/>
      <c r="AC128" s="48"/>
      <c r="AD128" s="48"/>
      <c r="AE128" s="48"/>
      <c r="AF128" s="48"/>
      <c r="AG128" s="48">
        <v>0.5</v>
      </c>
    </row>
    <row r="129" spans="1:33" s="49" customFormat="1" ht="10.5" customHeight="1" x14ac:dyDescent="0.25">
      <c r="A129" s="48">
        <v>205</v>
      </c>
      <c r="B129" s="48" t="s">
        <v>91</v>
      </c>
      <c r="C129" s="169">
        <v>130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>
        <v>45.5</v>
      </c>
      <c r="W129" s="46"/>
      <c r="X129" s="46">
        <v>5</v>
      </c>
      <c r="Y129" s="46"/>
      <c r="Z129" s="46"/>
      <c r="AA129" s="46"/>
      <c r="AB129" s="46"/>
      <c r="AC129" s="46"/>
      <c r="AD129" s="46"/>
      <c r="AE129" s="46"/>
      <c r="AF129" s="46"/>
      <c r="AG129" s="46">
        <v>1.3</v>
      </c>
    </row>
    <row r="130" spans="1:33" s="47" customFormat="1" ht="10.5" customHeight="1" x14ac:dyDescent="0.25">
      <c r="A130" s="48">
        <v>372</v>
      </c>
      <c r="B130" s="48" t="s">
        <v>158</v>
      </c>
      <c r="C130" s="61">
        <v>180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>
        <v>36</v>
      </c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179">
        <v>10</v>
      </c>
      <c r="AE130" s="46"/>
      <c r="AF130" s="46"/>
      <c r="AG130" s="46"/>
    </row>
    <row r="131" spans="1:33" s="47" customFormat="1" ht="10.5" customHeight="1" x14ac:dyDescent="0.25">
      <c r="A131" s="48"/>
      <c r="B131" s="48" t="s">
        <v>160</v>
      </c>
      <c r="C131" s="61">
        <v>50</v>
      </c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>
        <v>50</v>
      </c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</row>
    <row r="132" spans="1:33" s="47" customFormat="1" ht="10.5" customHeight="1" x14ac:dyDescent="0.25">
      <c r="A132" s="46"/>
      <c r="B132" s="46"/>
      <c r="C132" s="60">
        <f>SUM(C126:C131)</f>
        <v>700</v>
      </c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</row>
    <row r="133" spans="1:33" s="47" customFormat="1" ht="10.5" customHeight="1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</row>
    <row r="134" spans="1:33" s="168" customFormat="1" ht="10.5" customHeight="1" x14ac:dyDescent="0.25">
      <c r="A134" s="169" t="s">
        <v>53</v>
      </c>
      <c r="B134" s="169" t="s">
        <v>217</v>
      </c>
      <c r="C134" s="169">
        <v>60</v>
      </c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>
        <v>56.4</v>
      </c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>
        <v>3.6</v>
      </c>
      <c r="Z134" s="169"/>
      <c r="AA134" s="169"/>
      <c r="AB134" s="169"/>
      <c r="AC134" s="169"/>
      <c r="AD134" s="169"/>
      <c r="AE134" s="169"/>
      <c r="AF134" s="169"/>
      <c r="AG134" s="169">
        <v>0.06</v>
      </c>
    </row>
    <row r="135" spans="1:33" s="59" customFormat="1" ht="10.5" customHeight="1" x14ac:dyDescent="0.25">
      <c r="A135" s="48"/>
      <c r="B135" s="48" t="s">
        <v>206</v>
      </c>
      <c r="C135" s="48">
        <v>160</v>
      </c>
      <c r="D135" s="48"/>
      <c r="E135" s="48"/>
      <c r="F135" s="48"/>
      <c r="G135" s="48"/>
      <c r="H135" s="48"/>
      <c r="I135" s="48"/>
      <c r="J135" s="48"/>
      <c r="K135" s="48">
        <v>41</v>
      </c>
      <c r="L135" s="48"/>
      <c r="M135" s="48">
        <v>153</v>
      </c>
      <c r="N135" s="48">
        <v>11</v>
      </c>
      <c r="O135" s="48"/>
      <c r="P135" s="48"/>
      <c r="Q135" s="48"/>
      <c r="R135" s="48"/>
      <c r="S135" s="48"/>
      <c r="T135" s="48">
        <v>3</v>
      </c>
      <c r="U135" s="48"/>
      <c r="V135" s="48"/>
      <c r="W135" s="48"/>
      <c r="X135" s="167">
        <v>2</v>
      </c>
      <c r="Y135" s="48"/>
      <c r="Z135" s="48"/>
      <c r="AA135" s="48"/>
      <c r="AB135" s="48"/>
      <c r="AC135" s="48"/>
      <c r="AD135" s="48"/>
      <c r="AE135" s="48"/>
      <c r="AF135" s="48"/>
      <c r="AG135" s="48">
        <v>1</v>
      </c>
    </row>
    <row r="136" spans="1:33" s="47" customFormat="1" ht="10.5" customHeight="1" x14ac:dyDescent="0.25">
      <c r="A136" s="48" t="s">
        <v>53</v>
      </c>
      <c r="B136" s="48" t="s">
        <v>94</v>
      </c>
      <c r="C136" s="169">
        <v>15</v>
      </c>
      <c r="D136" s="169"/>
      <c r="E136" s="169"/>
      <c r="F136" s="169">
        <v>15</v>
      </c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</row>
    <row r="137" spans="1:33" s="47" customFormat="1" ht="10.5" customHeight="1" x14ac:dyDescent="0.25">
      <c r="A137" s="48">
        <v>460</v>
      </c>
      <c r="B137" s="48" t="s">
        <v>84</v>
      </c>
      <c r="C137" s="48">
        <v>40</v>
      </c>
      <c r="D137" s="46"/>
      <c r="E137" s="46"/>
      <c r="F137" s="46"/>
      <c r="G137" s="46"/>
      <c r="H137" s="46"/>
      <c r="I137" s="46"/>
      <c r="J137" s="46"/>
      <c r="K137" s="46"/>
      <c r="L137" s="46">
        <v>8.4</v>
      </c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>
        <f>28*40/50</f>
        <v>22.4</v>
      </c>
      <c r="X137" s="46"/>
      <c r="Y137" s="46">
        <v>4.9000000000000004</v>
      </c>
      <c r="Z137" s="46"/>
      <c r="AA137" s="46"/>
      <c r="AB137" s="46"/>
      <c r="AC137" s="46"/>
      <c r="AD137" s="166">
        <v>6.4</v>
      </c>
      <c r="AE137" s="166">
        <v>1.6</v>
      </c>
      <c r="AF137" s="46"/>
      <c r="AG137" s="166">
        <v>0.12</v>
      </c>
    </row>
    <row r="138" spans="1:33" s="135" customFormat="1" ht="10.5" customHeight="1" x14ac:dyDescent="0.25">
      <c r="A138" s="6" t="s">
        <v>199</v>
      </c>
      <c r="B138" s="6" t="s">
        <v>164</v>
      </c>
      <c r="C138" s="6">
        <v>200</v>
      </c>
      <c r="D138" s="6">
        <v>200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s="47" customFormat="1" ht="10.5" customHeight="1" x14ac:dyDescent="0.25">
      <c r="A139" s="48"/>
      <c r="B139" s="48" t="s">
        <v>34</v>
      </c>
      <c r="C139" s="48">
        <v>40</v>
      </c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166">
        <v>40</v>
      </c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</row>
    <row r="140" spans="1:33" ht="15" customHeight="1" x14ac:dyDescent="0.25">
      <c r="A140" s="6"/>
      <c r="B140" s="6"/>
      <c r="C140" s="42">
        <f>SUM(C134:C139)</f>
        <v>515</v>
      </c>
    </row>
    <row r="141" spans="1:33" s="11" customFormat="1" ht="10.5" customHeight="1" x14ac:dyDescent="0.25">
      <c r="A141" s="14"/>
      <c r="B141" s="15" t="s">
        <v>86</v>
      </c>
      <c r="C141" s="14"/>
      <c r="D141" s="9">
        <f t="shared" ref="D141:AG141" si="6">SUM(D116:D139)</f>
        <v>351</v>
      </c>
      <c r="E141" s="9">
        <f t="shared" si="6"/>
        <v>60</v>
      </c>
      <c r="F141" s="9">
        <f t="shared" si="6"/>
        <v>15</v>
      </c>
      <c r="G141" s="9">
        <f t="shared" si="6"/>
        <v>0</v>
      </c>
      <c r="H141" s="9">
        <f t="shared" si="6"/>
        <v>59</v>
      </c>
      <c r="I141" s="9">
        <f t="shared" si="6"/>
        <v>0</v>
      </c>
      <c r="J141" s="9">
        <f t="shared" si="6"/>
        <v>0</v>
      </c>
      <c r="K141" s="9">
        <f t="shared" si="6"/>
        <v>41</v>
      </c>
      <c r="L141" s="9">
        <f t="shared" si="6"/>
        <v>12.4</v>
      </c>
      <c r="M141" s="9">
        <f t="shared" si="6"/>
        <v>211</v>
      </c>
      <c r="N141" s="9">
        <f t="shared" si="6"/>
        <v>245.20000000000002</v>
      </c>
      <c r="O141" s="9">
        <f t="shared" si="6"/>
        <v>36</v>
      </c>
      <c r="P141" s="9">
        <f t="shared" si="6"/>
        <v>0</v>
      </c>
      <c r="Q141" s="9">
        <f t="shared" si="6"/>
        <v>0</v>
      </c>
      <c r="R141" s="9">
        <f t="shared" si="6"/>
        <v>165</v>
      </c>
      <c r="S141" s="9">
        <f t="shared" si="6"/>
        <v>50</v>
      </c>
      <c r="T141" s="9">
        <f t="shared" si="6"/>
        <v>95</v>
      </c>
      <c r="U141" s="9">
        <f t="shared" si="6"/>
        <v>23.1</v>
      </c>
      <c r="V141" s="9">
        <f t="shared" si="6"/>
        <v>45.5</v>
      </c>
      <c r="W141" s="9">
        <f t="shared" si="6"/>
        <v>34.4</v>
      </c>
      <c r="X141" s="9">
        <f t="shared" si="6"/>
        <v>12</v>
      </c>
      <c r="Y141" s="9">
        <f t="shared" si="6"/>
        <v>18.100000000000001</v>
      </c>
      <c r="Z141" s="9">
        <f t="shared" si="6"/>
        <v>20</v>
      </c>
      <c r="AA141" s="9">
        <f t="shared" si="6"/>
        <v>0.84</v>
      </c>
      <c r="AB141" s="9">
        <f t="shared" si="6"/>
        <v>0</v>
      </c>
      <c r="AC141" s="9">
        <f t="shared" si="6"/>
        <v>0</v>
      </c>
      <c r="AD141" s="9">
        <f t="shared" si="6"/>
        <v>32.1</v>
      </c>
      <c r="AE141" s="9">
        <f t="shared" si="6"/>
        <v>1.6</v>
      </c>
      <c r="AF141" s="9">
        <f t="shared" si="6"/>
        <v>0</v>
      </c>
      <c r="AG141" s="9">
        <f t="shared" si="6"/>
        <v>4.580000000000001</v>
      </c>
    </row>
    <row r="143" spans="1:33" s="27" customFormat="1" ht="10.5" customHeight="1" x14ac:dyDescent="0.3">
      <c r="A143" s="220" t="s">
        <v>85</v>
      </c>
      <c r="B143" s="221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</row>
    <row r="144" spans="1:33" ht="10.5" customHeight="1" x14ac:dyDescent="0.25">
      <c r="A144" s="22">
        <v>7</v>
      </c>
      <c r="B144" s="22" t="s">
        <v>39</v>
      </c>
      <c r="C144" s="22">
        <v>10</v>
      </c>
      <c r="D144" s="22"/>
      <c r="E144" s="22"/>
      <c r="F144" s="22"/>
      <c r="G144" s="22">
        <v>10</v>
      </c>
    </row>
    <row r="145" spans="1:33" s="47" customFormat="1" ht="10.5" customHeight="1" x14ac:dyDescent="0.25">
      <c r="A145" s="48">
        <v>211</v>
      </c>
      <c r="B145" s="48" t="s">
        <v>119</v>
      </c>
      <c r="C145" s="48">
        <v>205</v>
      </c>
      <c r="D145" s="46"/>
      <c r="E145" s="46">
        <v>40</v>
      </c>
      <c r="F145" s="46"/>
      <c r="G145" s="46"/>
      <c r="H145" s="46"/>
      <c r="I145" s="46"/>
      <c r="J145" s="46"/>
      <c r="K145" s="46"/>
      <c r="L145" s="46">
        <v>8</v>
      </c>
      <c r="M145" s="46"/>
      <c r="N145" s="46"/>
      <c r="O145" s="46"/>
      <c r="P145" s="46"/>
      <c r="Q145" s="46"/>
      <c r="R145" s="46"/>
      <c r="S145" s="46"/>
      <c r="T145" s="46">
        <v>7</v>
      </c>
      <c r="U145" s="46"/>
      <c r="V145" s="46">
        <f>35*116/100</f>
        <v>40.6</v>
      </c>
      <c r="W145" s="46"/>
      <c r="X145" s="46">
        <v>5</v>
      </c>
      <c r="Y145" s="46">
        <v>3</v>
      </c>
      <c r="Z145" s="46"/>
      <c r="AA145" s="46"/>
      <c r="AB145" s="46"/>
      <c r="AC145" s="46"/>
      <c r="AD145" s="179">
        <v>5</v>
      </c>
      <c r="AE145" s="46"/>
      <c r="AF145" s="46"/>
      <c r="AG145" s="46">
        <v>1</v>
      </c>
    </row>
    <row r="146" spans="1:33" s="168" customFormat="1" ht="10.5" customHeight="1" x14ac:dyDescent="0.25">
      <c r="A146" s="169"/>
      <c r="B146" s="169" t="s">
        <v>209</v>
      </c>
      <c r="C146" s="169">
        <v>40</v>
      </c>
      <c r="D146" s="169"/>
      <c r="E146" s="169"/>
      <c r="F146" s="169"/>
      <c r="G146" s="169"/>
      <c r="H146" s="169"/>
      <c r="I146" s="169"/>
      <c r="J146" s="169"/>
      <c r="K146" s="169"/>
      <c r="L146" s="169">
        <v>40</v>
      </c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</row>
    <row r="147" spans="1:33" s="47" customFormat="1" ht="10.5" customHeight="1" x14ac:dyDescent="0.25">
      <c r="A147" s="48">
        <v>400</v>
      </c>
      <c r="B147" s="48" t="s">
        <v>161</v>
      </c>
      <c r="C147" s="48">
        <v>180</v>
      </c>
      <c r="D147" s="46">
        <v>180</v>
      </c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166"/>
      <c r="AB147" s="46"/>
      <c r="AC147" s="46"/>
      <c r="AD147" s="173"/>
      <c r="AE147" s="46"/>
      <c r="AF147" s="46"/>
      <c r="AG147" s="46"/>
    </row>
    <row r="148" spans="1:33" s="47" customFormat="1" ht="10.5" customHeight="1" x14ac:dyDescent="0.25">
      <c r="A148" s="48">
        <v>6</v>
      </c>
      <c r="B148" s="48" t="s">
        <v>40</v>
      </c>
      <c r="C148" s="48">
        <v>5</v>
      </c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>
        <v>5</v>
      </c>
      <c r="Y148" s="46"/>
      <c r="Z148" s="46"/>
      <c r="AA148" s="46"/>
      <c r="AB148" s="46"/>
      <c r="AC148" s="46"/>
      <c r="AD148" s="46"/>
      <c r="AE148" s="46"/>
      <c r="AF148" s="46"/>
      <c r="AG148" s="46"/>
    </row>
    <row r="149" spans="1:33" s="47" customFormat="1" ht="10.5" customHeight="1" x14ac:dyDescent="0.25">
      <c r="A149" s="48"/>
      <c r="B149" s="48" t="s">
        <v>34</v>
      </c>
      <c r="C149" s="48">
        <v>30</v>
      </c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>
        <v>30</v>
      </c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</row>
    <row r="150" spans="1:33" s="47" customFormat="1" ht="10.5" customHeight="1" x14ac:dyDescent="0.25">
      <c r="A150" s="48"/>
      <c r="B150" s="48"/>
      <c r="C150" s="57">
        <f>SUM(C144:C149)</f>
        <v>470</v>
      </c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</row>
    <row r="151" spans="1:33" s="68" customFormat="1" ht="10.5" customHeight="1" x14ac:dyDescent="0.25">
      <c r="A151" s="48">
        <v>399</v>
      </c>
      <c r="B151" s="48" t="s">
        <v>196</v>
      </c>
      <c r="C151" s="48">
        <v>200</v>
      </c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>
        <v>200</v>
      </c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</row>
    <row r="152" spans="1:33" s="47" customFormat="1" ht="10.5" customHeight="1" x14ac:dyDescent="0.25">
      <c r="A152" s="48"/>
      <c r="B152" s="48" t="s">
        <v>163</v>
      </c>
      <c r="C152" s="48">
        <v>20</v>
      </c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>
        <v>20</v>
      </c>
      <c r="AA152" s="46"/>
      <c r="AB152" s="46"/>
      <c r="AC152" s="46"/>
      <c r="AD152" s="46"/>
      <c r="AE152" s="46"/>
      <c r="AF152" s="46"/>
      <c r="AG152" s="46"/>
    </row>
    <row r="153" spans="1:33" s="47" customFormat="1" ht="10.5" customHeight="1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</row>
    <row r="154" spans="1:33" s="47" customFormat="1" ht="10.5" customHeight="1" x14ac:dyDescent="0.25">
      <c r="A154" s="48" t="s">
        <v>107</v>
      </c>
      <c r="B154" s="48" t="s">
        <v>108</v>
      </c>
      <c r="C154" s="48">
        <v>50</v>
      </c>
      <c r="D154" s="46"/>
      <c r="E154" s="46"/>
      <c r="F154" s="46"/>
      <c r="G154" s="46"/>
      <c r="H154" s="46"/>
      <c r="I154" s="46"/>
      <c r="J154" s="46"/>
      <c r="K154" s="46"/>
      <c r="L154" s="46"/>
      <c r="M154" s="46">
        <v>12.9</v>
      </c>
      <c r="N154" s="46">
        <v>35</v>
      </c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>
        <v>1.8</v>
      </c>
      <c r="Z154" s="46"/>
      <c r="AA154" s="46"/>
      <c r="AB154" s="46"/>
      <c r="AC154" s="46"/>
      <c r="AD154" s="46"/>
      <c r="AE154" s="46"/>
      <c r="AF154" s="46"/>
      <c r="AG154" s="46"/>
    </row>
    <row r="155" spans="1:33" s="168" customFormat="1" ht="10.5" customHeight="1" x14ac:dyDescent="0.25">
      <c r="A155" s="169">
        <v>81</v>
      </c>
      <c r="B155" s="169" t="s">
        <v>149</v>
      </c>
      <c r="C155" s="169">
        <v>200</v>
      </c>
      <c r="D155" s="169"/>
      <c r="E155" s="169"/>
      <c r="F155" s="169"/>
      <c r="G155" s="169"/>
      <c r="H155" s="169"/>
      <c r="I155" s="169"/>
      <c r="J155" s="169"/>
      <c r="K155" s="169"/>
      <c r="L155" s="169"/>
      <c r="M155" s="169">
        <v>40</v>
      </c>
      <c r="N155" s="169">
        <v>18</v>
      </c>
      <c r="O155" s="169"/>
      <c r="P155" s="169"/>
      <c r="Q155" s="169"/>
      <c r="R155" s="169"/>
      <c r="S155" s="169"/>
      <c r="T155" s="169"/>
      <c r="U155" s="169">
        <v>16</v>
      </c>
      <c r="V155" s="169"/>
      <c r="W155" s="169"/>
      <c r="X155" s="169"/>
      <c r="Y155" s="169">
        <v>4</v>
      </c>
      <c r="Z155" s="169"/>
      <c r="AA155" s="169"/>
      <c r="AB155" s="169"/>
      <c r="AC155" s="169"/>
      <c r="AD155" s="169"/>
      <c r="AE155" s="169"/>
      <c r="AF155" s="169"/>
      <c r="AG155" s="169">
        <v>1.1000000000000001</v>
      </c>
    </row>
    <row r="156" spans="1:33" s="49" customFormat="1" ht="10.5" customHeight="1" x14ac:dyDescent="0.25">
      <c r="A156" s="48"/>
      <c r="B156" s="48" t="s">
        <v>121</v>
      </c>
      <c r="C156" s="48">
        <v>80</v>
      </c>
      <c r="D156" s="45">
        <v>18</v>
      </c>
      <c r="E156" s="45"/>
      <c r="F156" s="45"/>
      <c r="G156" s="45"/>
      <c r="H156" s="45"/>
      <c r="I156" s="45">
        <v>59</v>
      </c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>
        <v>15</v>
      </c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>
        <v>0.7</v>
      </c>
    </row>
    <row r="157" spans="1:33" s="47" customFormat="1" ht="10.5" customHeight="1" x14ac:dyDescent="0.25">
      <c r="A157" s="48">
        <v>318</v>
      </c>
      <c r="B157" s="48" t="s">
        <v>52</v>
      </c>
      <c r="C157" s="48">
        <v>100</v>
      </c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>
        <v>100</v>
      </c>
      <c r="O157" s="45"/>
      <c r="P157" s="45"/>
      <c r="Q157" s="45"/>
      <c r="R157" s="45"/>
      <c r="S157" s="45"/>
      <c r="T157" s="45"/>
      <c r="U157" s="45"/>
      <c r="V157" s="45"/>
      <c r="W157" s="45"/>
      <c r="X157" s="45">
        <v>3.5</v>
      </c>
      <c r="Y157" s="45"/>
      <c r="Z157" s="45"/>
      <c r="AA157" s="45"/>
      <c r="AB157" s="45"/>
      <c r="AC157" s="45"/>
      <c r="AD157" s="45"/>
      <c r="AE157" s="45"/>
      <c r="AF157" s="45"/>
      <c r="AG157" s="167">
        <v>1.3</v>
      </c>
    </row>
    <row r="158" spans="1:33" s="47" customFormat="1" ht="10.5" customHeight="1" x14ac:dyDescent="0.25">
      <c r="A158" s="48">
        <v>376</v>
      </c>
      <c r="B158" s="48" t="s">
        <v>100</v>
      </c>
      <c r="C158" s="48">
        <v>200</v>
      </c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>
        <v>20</v>
      </c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179">
        <v>10</v>
      </c>
      <c r="AE158" s="46"/>
      <c r="AF158" s="46"/>
      <c r="AG158" s="46"/>
    </row>
    <row r="159" spans="1:33" s="47" customFormat="1" ht="10.5" customHeight="1" x14ac:dyDescent="0.25">
      <c r="A159" s="48"/>
      <c r="B159" s="48" t="s">
        <v>34</v>
      </c>
      <c r="C159" s="48">
        <v>40</v>
      </c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>
        <v>40</v>
      </c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</row>
    <row r="160" spans="1:33" s="47" customFormat="1" ht="10.5" customHeight="1" x14ac:dyDescent="0.25">
      <c r="A160" s="48"/>
      <c r="B160" s="48" t="s">
        <v>160</v>
      </c>
      <c r="C160" s="48">
        <v>25</v>
      </c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>
        <v>25</v>
      </c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</row>
    <row r="161" spans="1:34" s="47" customFormat="1" ht="10.5" customHeight="1" x14ac:dyDescent="0.25">
      <c r="A161" s="48"/>
      <c r="B161" s="48"/>
      <c r="C161" s="57">
        <f>SUM(C154:C160)</f>
        <v>695</v>
      </c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</row>
    <row r="162" spans="1:34" s="47" customFormat="1" ht="10.5" customHeight="1" x14ac:dyDescent="0.25">
      <c r="A162" s="48">
        <v>76</v>
      </c>
      <c r="B162" s="48" t="s">
        <v>150</v>
      </c>
      <c r="C162" s="48">
        <v>55</v>
      </c>
      <c r="D162" s="46"/>
      <c r="E162" s="46"/>
      <c r="F162" s="46"/>
      <c r="G162" s="46"/>
      <c r="H162" s="46"/>
      <c r="I162" s="46"/>
      <c r="J162" s="46">
        <v>30</v>
      </c>
      <c r="K162" s="46"/>
      <c r="L162" s="46"/>
      <c r="M162" s="46"/>
      <c r="N162" s="46">
        <v>25</v>
      </c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>
        <v>5</v>
      </c>
      <c r="Z162" s="46"/>
      <c r="AA162" s="46"/>
      <c r="AB162" s="46"/>
      <c r="AC162" s="46"/>
      <c r="AD162" s="46"/>
      <c r="AE162" s="46"/>
      <c r="AF162" s="46"/>
      <c r="AG162" s="46"/>
    </row>
    <row r="163" spans="1:34" s="47" customFormat="1" ht="10.5" customHeight="1" x14ac:dyDescent="0.25">
      <c r="A163" s="48">
        <v>321</v>
      </c>
      <c r="B163" s="48" t="s">
        <v>44</v>
      </c>
      <c r="C163" s="48">
        <v>100</v>
      </c>
      <c r="D163" s="46">
        <v>15</v>
      </c>
      <c r="E163" s="46"/>
      <c r="F163" s="46"/>
      <c r="G163" s="46"/>
      <c r="H163" s="46"/>
      <c r="I163" s="46"/>
      <c r="J163" s="46"/>
      <c r="K163" s="46"/>
      <c r="L163" s="46"/>
      <c r="M163" s="46">
        <v>86</v>
      </c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>
        <v>3.5</v>
      </c>
      <c r="Y163" s="46"/>
      <c r="Z163" s="46"/>
      <c r="AA163" s="46"/>
      <c r="AB163" s="46"/>
      <c r="AC163" s="46"/>
      <c r="AD163" s="46"/>
      <c r="AE163" s="46"/>
      <c r="AF163" s="46"/>
      <c r="AG163" s="46">
        <v>0.5</v>
      </c>
    </row>
    <row r="164" spans="1:34" s="47" customFormat="1" ht="10.5" customHeight="1" x14ac:dyDescent="0.25">
      <c r="A164" s="48">
        <v>496</v>
      </c>
      <c r="B164" s="48" t="s">
        <v>176</v>
      </c>
      <c r="C164" s="48">
        <v>37</v>
      </c>
      <c r="D164" s="46">
        <v>3.7</v>
      </c>
      <c r="E164" s="46"/>
      <c r="F164" s="46"/>
      <c r="G164" s="46"/>
      <c r="H164" s="46"/>
      <c r="I164" s="46"/>
      <c r="J164" s="46"/>
      <c r="K164" s="46"/>
      <c r="L164" s="166">
        <v>2.52</v>
      </c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>
        <v>21.7</v>
      </c>
      <c r="X164" s="46">
        <v>4.9000000000000004</v>
      </c>
      <c r="Y164" s="46"/>
      <c r="Z164" s="46"/>
      <c r="AA164" s="46"/>
      <c r="AB164" s="46"/>
      <c r="AC164" s="46"/>
      <c r="AD164" s="72">
        <v>10.4</v>
      </c>
      <c r="AE164" s="46"/>
      <c r="AF164" s="46"/>
      <c r="AG164" s="166">
        <v>0.5</v>
      </c>
    </row>
    <row r="165" spans="1:34" s="47" customFormat="1" ht="10.5" customHeight="1" x14ac:dyDescent="0.25">
      <c r="A165" s="48">
        <v>395</v>
      </c>
      <c r="B165" s="48" t="s">
        <v>32</v>
      </c>
      <c r="C165" s="48">
        <v>180</v>
      </c>
      <c r="D165" s="46">
        <v>90</v>
      </c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173">
        <v>4</v>
      </c>
      <c r="AD165" s="173">
        <v>5</v>
      </c>
      <c r="AE165" s="46"/>
      <c r="AF165" s="46"/>
      <c r="AG165" s="46"/>
    </row>
    <row r="166" spans="1:34" s="47" customFormat="1" ht="10.5" customHeight="1" x14ac:dyDescent="0.25">
      <c r="A166" s="45"/>
      <c r="B166" s="45" t="s">
        <v>146</v>
      </c>
      <c r="C166" s="45">
        <v>100</v>
      </c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>
        <v>100</v>
      </c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</row>
    <row r="167" spans="1:34" s="47" customFormat="1" ht="10.5" customHeight="1" x14ac:dyDescent="0.25">
      <c r="A167" s="48"/>
      <c r="B167" s="48" t="s">
        <v>160</v>
      </c>
      <c r="C167" s="48">
        <v>25</v>
      </c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>
        <v>25</v>
      </c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</row>
    <row r="168" spans="1:34" s="47" customFormat="1" ht="10.5" customHeight="1" x14ac:dyDescent="0.25">
      <c r="A168" s="48"/>
      <c r="B168" s="48"/>
      <c r="C168" s="73">
        <f>SUM(C162:C167)</f>
        <v>497</v>
      </c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</row>
    <row r="169" spans="1:34" s="11" customFormat="1" ht="10.5" customHeight="1" x14ac:dyDescent="0.25">
      <c r="A169" s="9"/>
      <c r="B169" s="17" t="s">
        <v>86</v>
      </c>
      <c r="C169" s="9"/>
      <c r="D169" s="9">
        <f t="shared" ref="D169:AG169" si="7">SUM(D144:D167)</f>
        <v>306.7</v>
      </c>
      <c r="E169" s="9">
        <f t="shared" si="7"/>
        <v>40</v>
      </c>
      <c r="F169" s="9">
        <f t="shared" si="7"/>
        <v>0</v>
      </c>
      <c r="G169" s="9">
        <f t="shared" si="7"/>
        <v>10</v>
      </c>
      <c r="H169" s="9">
        <f t="shared" si="7"/>
        <v>0</v>
      </c>
      <c r="I169" s="9">
        <f t="shared" si="7"/>
        <v>59</v>
      </c>
      <c r="J169" s="9">
        <f t="shared" si="7"/>
        <v>30</v>
      </c>
      <c r="K169" s="9">
        <f t="shared" si="7"/>
        <v>0</v>
      </c>
      <c r="L169" s="9">
        <f t="shared" si="7"/>
        <v>50.52</v>
      </c>
      <c r="M169" s="9">
        <f t="shared" si="7"/>
        <v>138.9</v>
      </c>
      <c r="N169" s="9">
        <f t="shared" si="7"/>
        <v>178</v>
      </c>
      <c r="O169" s="9">
        <f t="shared" si="7"/>
        <v>100</v>
      </c>
      <c r="P169" s="9">
        <f t="shared" si="7"/>
        <v>20</v>
      </c>
      <c r="Q169" s="9">
        <f t="shared" si="7"/>
        <v>200</v>
      </c>
      <c r="R169" s="9">
        <f t="shared" si="7"/>
        <v>0</v>
      </c>
      <c r="S169" s="9">
        <f t="shared" si="7"/>
        <v>50</v>
      </c>
      <c r="T169" s="9">
        <f t="shared" si="7"/>
        <v>92</v>
      </c>
      <c r="U169" s="9">
        <f t="shared" si="7"/>
        <v>16</v>
      </c>
      <c r="V169" s="9">
        <f t="shared" si="7"/>
        <v>40.6</v>
      </c>
      <c r="W169" s="9">
        <f t="shared" si="7"/>
        <v>21.7</v>
      </c>
      <c r="X169" s="9">
        <f t="shared" si="7"/>
        <v>21.9</v>
      </c>
      <c r="Y169" s="9">
        <f t="shared" si="7"/>
        <v>13.8</v>
      </c>
      <c r="Z169" s="9">
        <f t="shared" si="7"/>
        <v>20</v>
      </c>
      <c r="AA169" s="9">
        <f t="shared" si="7"/>
        <v>0</v>
      </c>
      <c r="AB169" s="9">
        <f t="shared" si="7"/>
        <v>0</v>
      </c>
      <c r="AC169" s="9">
        <f t="shared" si="7"/>
        <v>4</v>
      </c>
      <c r="AD169" s="9">
        <f t="shared" si="7"/>
        <v>30.4</v>
      </c>
      <c r="AE169" s="9">
        <f t="shared" si="7"/>
        <v>0</v>
      </c>
      <c r="AF169" s="9">
        <f t="shared" si="7"/>
        <v>0</v>
      </c>
      <c r="AG169" s="9">
        <f t="shared" si="7"/>
        <v>5.0999999999999996</v>
      </c>
    </row>
    <row r="170" spans="1:34" s="21" customFormat="1" ht="10.5" customHeight="1" x14ac:dyDescent="0.25">
      <c r="A170" s="19"/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52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</row>
    <row r="171" spans="1:34" s="40" customFormat="1" ht="10.5" customHeight="1" x14ac:dyDescent="0.3">
      <c r="A171" s="220" t="s">
        <v>87</v>
      </c>
      <c r="B171" s="221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</row>
    <row r="172" spans="1:34" s="49" customFormat="1" ht="10.5" customHeight="1" x14ac:dyDescent="0.25">
      <c r="A172" s="48">
        <v>3</v>
      </c>
      <c r="B172" s="48" t="s">
        <v>201</v>
      </c>
      <c r="C172" s="48">
        <v>45</v>
      </c>
      <c r="D172" s="45"/>
      <c r="E172" s="45"/>
      <c r="F172" s="45"/>
      <c r="G172" s="45">
        <v>10</v>
      </c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>
        <v>30</v>
      </c>
      <c r="U172" s="45"/>
      <c r="V172" s="45"/>
      <c r="W172" s="45"/>
      <c r="X172" s="45">
        <v>5</v>
      </c>
      <c r="Y172" s="45"/>
      <c r="Z172" s="45"/>
      <c r="AA172" s="45"/>
      <c r="AB172" s="45"/>
      <c r="AC172" s="45"/>
      <c r="AD172" s="45"/>
      <c r="AE172" s="45"/>
      <c r="AF172" s="45"/>
      <c r="AG172" s="45"/>
    </row>
    <row r="173" spans="1:34" s="49" customFormat="1" ht="10.5" customHeight="1" x14ac:dyDescent="0.25">
      <c r="A173" s="48">
        <v>185</v>
      </c>
      <c r="B173" s="167" t="s">
        <v>202</v>
      </c>
      <c r="C173" s="167">
        <v>200</v>
      </c>
      <c r="D173" s="45">
        <f>82*2</f>
        <v>164</v>
      </c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167">
        <v>30.5</v>
      </c>
      <c r="V173" s="45"/>
      <c r="W173" s="45"/>
      <c r="X173" s="170">
        <v>3</v>
      </c>
      <c r="Y173" s="45"/>
      <c r="Z173" s="45"/>
      <c r="AA173" s="45"/>
      <c r="AB173" s="45"/>
      <c r="AC173" s="45"/>
      <c r="AD173" s="170">
        <v>5</v>
      </c>
      <c r="AE173" s="45"/>
      <c r="AF173" s="45"/>
      <c r="AG173" s="45">
        <v>0.3</v>
      </c>
    </row>
    <row r="174" spans="1:34" s="49" customFormat="1" ht="10.5" customHeight="1" x14ac:dyDescent="0.25">
      <c r="A174" s="48">
        <v>395</v>
      </c>
      <c r="B174" s="48" t="s">
        <v>32</v>
      </c>
      <c r="C174" s="48">
        <v>180</v>
      </c>
      <c r="D174" s="45">
        <v>90</v>
      </c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170">
        <v>4</v>
      </c>
      <c r="AD174" s="169">
        <v>5</v>
      </c>
      <c r="AE174" s="45"/>
      <c r="AF174" s="45"/>
      <c r="AG174" s="45"/>
    </row>
    <row r="175" spans="1:34" s="75" customFormat="1" ht="10.5" customHeight="1" x14ac:dyDescent="0.25">
      <c r="A175" s="74"/>
      <c r="B175" s="74" t="s">
        <v>43</v>
      </c>
      <c r="C175" s="48">
        <v>100</v>
      </c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>
        <v>100</v>
      </c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</row>
    <row r="176" spans="1:34" s="49" customFormat="1" ht="13.5" customHeight="1" x14ac:dyDescent="0.25">
      <c r="A176" s="59"/>
      <c r="B176" s="59"/>
      <c r="C176" s="76">
        <f>SUM(C172:C175)</f>
        <v>525</v>
      </c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</row>
    <row r="177" spans="1:33" s="49" customFormat="1" ht="10.5" customHeight="1" x14ac:dyDescent="0.25">
      <c r="A177" s="48">
        <v>399</v>
      </c>
      <c r="B177" s="48" t="s">
        <v>177</v>
      </c>
      <c r="C177" s="77">
        <v>165</v>
      </c>
      <c r="D177" s="78"/>
      <c r="E177" s="78"/>
      <c r="F177" s="78"/>
      <c r="G177" s="78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>
        <v>165</v>
      </c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</row>
    <row r="178" spans="1:33" s="49" customFormat="1" ht="10.5" customHeight="1" x14ac:dyDescent="0.25">
      <c r="A178" s="48"/>
      <c r="B178" s="48" t="s">
        <v>163</v>
      </c>
      <c r="C178" s="48">
        <v>20</v>
      </c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>
        <v>20</v>
      </c>
      <c r="AA178" s="45"/>
      <c r="AB178" s="45"/>
      <c r="AC178" s="45"/>
      <c r="AD178" s="45"/>
      <c r="AE178" s="45"/>
      <c r="AF178" s="45"/>
      <c r="AG178" s="45"/>
    </row>
    <row r="179" spans="1:33" s="47" customFormat="1" ht="10.5" customHeight="1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</row>
    <row r="180" spans="1:33" s="168" customFormat="1" ht="10.5" customHeight="1" x14ac:dyDescent="0.25">
      <c r="A180" s="169">
        <v>45</v>
      </c>
      <c r="B180" s="169" t="s">
        <v>105</v>
      </c>
      <c r="C180" s="169">
        <v>60</v>
      </c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7">
        <v>55</v>
      </c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>
        <v>2.7</v>
      </c>
      <c r="Z180" s="169"/>
      <c r="AA180" s="169"/>
      <c r="AB180" s="169"/>
      <c r="AC180" s="169"/>
      <c r="AD180" s="169">
        <v>2.25</v>
      </c>
      <c r="AE180" s="169"/>
      <c r="AF180" s="169"/>
      <c r="AG180" s="169"/>
    </row>
    <row r="181" spans="1:33" s="168" customFormat="1" ht="10.5" customHeight="1" x14ac:dyDescent="0.25">
      <c r="A181" s="168">
        <v>84</v>
      </c>
      <c r="B181" s="169" t="s">
        <v>159</v>
      </c>
      <c r="C181" s="168">
        <v>200</v>
      </c>
      <c r="D181" s="169"/>
      <c r="E181" s="169"/>
      <c r="F181" s="169"/>
      <c r="G181" s="169"/>
      <c r="H181" s="169"/>
      <c r="I181" s="169"/>
      <c r="J181" s="167">
        <v>47</v>
      </c>
      <c r="K181" s="169"/>
      <c r="L181" s="167">
        <v>1.3</v>
      </c>
      <c r="M181" s="169">
        <v>80</v>
      </c>
      <c r="N181" s="169">
        <v>23</v>
      </c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>
        <v>2</v>
      </c>
      <c r="Z181" s="169"/>
      <c r="AA181" s="169"/>
      <c r="AB181" s="169"/>
      <c r="AC181" s="169"/>
      <c r="AD181" s="169"/>
      <c r="AE181" s="169"/>
      <c r="AF181" s="169"/>
      <c r="AG181" s="167">
        <v>1.3</v>
      </c>
    </row>
    <row r="182" spans="1:33" s="49" customFormat="1" ht="10.5" customHeight="1" x14ac:dyDescent="0.25">
      <c r="A182" s="48"/>
      <c r="B182" s="48" t="s">
        <v>122</v>
      </c>
      <c r="C182" s="48">
        <v>80</v>
      </c>
      <c r="D182" s="45"/>
      <c r="E182" s="45"/>
      <c r="F182" s="45"/>
      <c r="G182" s="45"/>
      <c r="H182" s="45">
        <v>53</v>
      </c>
      <c r="I182" s="45"/>
      <c r="J182" s="45"/>
      <c r="K182" s="45"/>
      <c r="L182" s="142">
        <v>13.32</v>
      </c>
      <c r="M182" s="45"/>
      <c r="N182" s="167">
        <v>18</v>
      </c>
      <c r="O182" s="45"/>
      <c r="P182" s="45"/>
      <c r="Q182" s="45"/>
      <c r="R182" s="45"/>
      <c r="S182" s="45"/>
      <c r="T182" s="45"/>
      <c r="U182" s="45"/>
      <c r="V182" s="45"/>
      <c r="W182" s="45">
        <v>3</v>
      </c>
      <c r="X182" s="45">
        <v>3</v>
      </c>
      <c r="Y182" s="45"/>
      <c r="Z182" s="45"/>
      <c r="AA182" s="45"/>
      <c r="AB182" s="45"/>
      <c r="AC182" s="45"/>
      <c r="AD182" s="45"/>
      <c r="AE182" s="45"/>
      <c r="AF182" s="45"/>
      <c r="AG182" s="45">
        <v>0.8</v>
      </c>
    </row>
    <row r="183" spans="1:33" s="49" customFormat="1" ht="10.5" customHeight="1" x14ac:dyDescent="0.25">
      <c r="A183" s="48">
        <v>313</v>
      </c>
      <c r="B183" s="48" t="s">
        <v>136</v>
      </c>
      <c r="C183" s="48">
        <v>120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>
        <v>48</v>
      </c>
      <c r="V183" s="45"/>
      <c r="W183" s="45"/>
      <c r="X183" s="45">
        <v>4</v>
      </c>
      <c r="Y183" s="45"/>
      <c r="Z183" s="45"/>
      <c r="AA183" s="45"/>
      <c r="AB183" s="45"/>
      <c r="AC183" s="45"/>
      <c r="AD183" s="45"/>
      <c r="AE183" s="45"/>
      <c r="AF183" s="45"/>
      <c r="AG183" s="45">
        <v>0.24</v>
      </c>
    </row>
    <row r="184" spans="1:33" s="49" customFormat="1" ht="10.5" customHeight="1" x14ac:dyDescent="0.25">
      <c r="A184" s="48">
        <v>376</v>
      </c>
      <c r="B184" s="48" t="s">
        <v>100</v>
      </c>
      <c r="C184" s="48">
        <v>180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>
        <v>18</v>
      </c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179">
        <v>9</v>
      </c>
      <c r="AE184" s="46"/>
      <c r="AF184" s="46"/>
      <c r="AG184" s="46"/>
    </row>
    <row r="185" spans="1:33" s="49" customFormat="1" ht="10.5" customHeight="1" x14ac:dyDescent="0.25">
      <c r="A185" s="48"/>
      <c r="B185" s="48" t="s">
        <v>160</v>
      </c>
      <c r="C185" s="48">
        <v>50</v>
      </c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>
        <v>50</v>
      </c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</row>
    <row r="186" spans="1:33" s="49" customFormat="1" ht="10.5" customHeight="1" x14ac:dyDescent="0.25">
      <c r="A186" s="48"/>
      <c r="B186" s="48" t="s">
        <v>34</v>
      </c>
      <c r="C186" s="48">
        <v>20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>
        <v>20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</row>
    <row r="187" spans="1:33" s="49" customFormat="1" ht="10.5" customHeight="1" x14ac:dyDescent="0.25">
      <c r="A187" s="48"/>
      <c r="B187" s="48"/>
      <c r="C187" s="73">
        <f>SUM(C180:C186)</f>
        <v>710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</row>
    <row r="188" spans="1:33" s="168" customFormat="1" ht="10.5" customHeight="1" x14ac:dyDescent="0.25">
      <c r="A188" s="169">
        <v>39</v>
      </c>
      <c r="B188" s="169" t="s">
        <v>152</v>
      </c>
      <c r="C188" s="169">
        <v>60</v>
      </c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>
        <v>44.4</v>
      </c>
      <c r="O188" s="169">
        <v>9</v>
      </c>
      <c r="P188" s="169"/>
      <c r="Q188" s="169"/>
      <c r="R188" s="169"/>
      <c r="S188" s="169"/>
      <c r="T188" s="169"/>
      <c r="U188" s="169"/>
      <c r="V188" s="169"/>
      <c r="W188" s="169"/>
      <c r="X188" s="169"/>
      <c r="Y188" s="169">
        <v>2.7</v>
      </c>
      <c r="Z188" s="169"/>
      <c r="AA188" s="169"/>
      <c r="AB188" s="169"/>
      <c r="AC188" s="169"/>
      <c r="AD188" s="169">
        <v>0.75</v>
      </c>
      <c r="AE188" s="169"/>
      <c r="AF188" s="169"/>
      <c r="AG188" s="169"/>
    </row>
    <row r="189" spans="1:33" s="47" customFormat="1" ht="10.5" customHeight="1" x14ac:dyDescent="0.25">
      <c r="A189" s="46">
        <v>236</v>
      </c>
      <c r="B189" s="46" t="s">
        <v>203</v>
      </c>
      <c r="C189" s="46">
        <v>130</v>
      </c>
      <c r="D189" s="46"/>
      <c r="E189" s="46">
        <v>75</v>
      </c>
      <c r="F189" s="46">
        <v>6</v>
      </c>
      <c r="G189" s="46"/>
      <c r="H189" s="46"/>
      <c r="I189" s="46"/>
      <c r="J189" s="46"/>
      <c r="K189" s="46"/>
      <c r="L189" s="46">
        <v>6</v>
      </c>
      <c r="M189" s="46"/>
      <c r="N189" s="46"/>
      <c r="O189" s="46"/>
      <c r="P189" s="46">
        <v>5</v>
      </c>
      <c r="Q189" s="46"/>
      <c r="R189" s="46"/>
      <c r="S189" s="46"/>
      <c r="T189" s="46">
        <v>4</v>
      </c>
      <c r="U189" s="46">
        <v>14</v>
      </c>
      <c r="V189" s="46"/>
      <c r="W189" s="46"/>
      <c r="X189" s="46">
        <v>4</v>
      </c>
      <c r="Y189" s="46"/>
      <c r="Z189" s="46"/>
      <c r="AA189" s="46"/>
      <c r="AB189" s="46"/>
      <c r="AC189" s="46"/>
      <c r="AD189" s="46"/>
      <c r="AE189" s="46"/>
      <c r="AF189" s="46"/>
      <c r="AG189" s="46">
        <v>0.1</v>
      </c>
    </row>
    <row r="190" spans="1:33" s="49" customFormat="1" ht="10.5" customHeight="1" x14ac:dyDescent="0.25">
      <c r="A190" s="45">
        <v>362</v>
      </c>
      <c r="B190" s="45" t="s">
        <v>148</v>
      </c>
      <c r="C190" s="45">
        <v>30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167">
        <v>15.5</v>
      </c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>
        <v>3.75</v>
      </c>
      <c r="AE190" s="45"/>
      <c r="AF190" s="45"/>
      <c r="AG190" s="45"/>
    </row>
    <row r="191" spans="1:33" s="47" customFormat="1" ht="10.5" customHeight="1" x14ac:dyDescent="0.25">
      <c r="A191" s="48">
        <v>400</v>
      </c>
      <c r="B191" s="48" t="s">
        <v>161</v>
      </c>
      <c r="C191" s="48">
        <v>200</v>
      </c>
      <c r="D191" s="46">
        <v>200</v>
      </c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</row>
    <row r="192" spans="1:33" s="49" customFormat="1" ht="10.5" customHeight="1" x14ac:dyDescent="0.25">
      <c r="A192" s="48"/>
      <c r="B192" s="48" t="s">
        <v>34</v>
      </c>
      <c r="C192" s="48">
        <v>20</v>
      </c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>
        <v>20</v>
      </c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</row>
    <row r="194" spans="1:33" ht="10.5" customHeight="1" x14ac:dyDescent="0.25">
      <c r="C194" s="55">
        <f>SUM(C188:C193)</f>
        <v>440</v>
      </c>
    </row>
    <row r="195" spans="1:33" s="25" customFormat="1" ht="10.5" customHeight="1" x14ac:dyDescent="0.25">
      <c r="A195" s="9"/>
      <c r="B195" s="17" t="s">
        <v>86</v>
      </c>
      <c r="C195" s="24"/>
      <c r="D195" s="24">
        <f t="shared" ref="D195:AG195" si="8">SUM(D172:D194)</f>
        <v>454</v>
      </c>
      <c r="E195" s="24">
        <f t="shared" si="8"/>
        <v>75</v>
      </c>
      <c r="F195" s="24">
        <f t="shared" si="8"/>
        <v>6</v>
      </c>
      <c r="G195" s="24">
        <f t="shared" si="8"/>
        <v>10</v>
      </c>
      <c r="H195" s="24">
        <f t="shared" si="8"/>
        <v>53</v>
      </c>
      <c r="I195" s="24">
        <f t="shared" si="8"/>
        <v>0</v>
      </c>
      <c r="J195" s="24">
        <f t="shared" si="8"/>
        <v>47</v>
      </c>
      <c r="K195" s="24">
        <f t="shared" si="8"/>
        <v>0</v>
      </c>
      <c r="L195" s="24">
        <f t="shared" si="8"/>
        <v>20.62</v>
      </c>
      <c r="M195" s="24">
        <f t="shared" si="8"/>
        <v>80</v>
      </c>
      <c r="N195" s="24">
        <f t="shared" si="8"/>
        <v>140.4</v>
      </c>
      <c r="O195" s="24">
        <f t="shared" si="8"/>
        <v>124.5</v>
      </c>
      <c r="P195" s="24">
        <f t="shared" si="8"/>
        <v>23</v>
      </c>
      <c r="Q195" s="24">
        <f t="shared" si="8"/>
        <v>0</v>
      </c>
      <c r="R195" s="24">
        <f t="shared" si="8"/>
        <v>165</v>
      </c>
      <c r="S195" s="24">
        <f t="shared" si="8"/>
        <v>50</v>
      </c>
      <c r="T195" s="24">
        <f t="shared" si="8"/>
        <v>74</v>
      </c>
      <c r="U195" s="24">
        <f t="shared" si="8"/>
        <v>92.5</v>
      </c>
      <c r="V195" s="24">
        <f t="shared" si="8"/>
        <v>0</v>
      </c>
      <c r="W195" s="24">
        <f t="shared" si="8"/>
        <v>3</v>
      </c>
      <c r="X195" s="24">
        <f t="shared" si="8"/>
        <v>19</v>
      </c>
      <c r="Y195" s="24">
        <f t="shared" si="8"/>
        <v>7.4</v>
      </c>
      <c r="Z195" s="24">
        <f t="shared" si="8"/>
        <v>20</v>
      </c>
      <c r="AA195" s="24">
        <f t="shared" si="8"/>
        <v>0</v>
      </c>
      <c r="AB195" s="24">
        <f t="shared" si="8"/>
        <v>0</v>
      </c>
      <c r="AC195" s="24">
        <f t="shared" si="8"/>
        <v>4</v>
      </c>
      <c r="AD195" s="24">
        <f t="shared" si="8"/>
        <v>25.75</v>
      </c>
      <c r="AE195" s="24">
        <f t="shared" si="8"/>
        <v>0</v>
      </c>
      <c r="AF195" s="24">
        <f t="shared" si="8"/>
        <v>0</v>
      </c>
      <c r="AG195" s="24">
        <f t="shared" si="8"/>
        <v>2.7400000000000007</v>
      </c>
    </row>
    <row r="196" spans="1:33" s="18" customFormat="1" ht="10.5" customHeight="1" x14ac:dyDescent="0.25">
      <c r="A196" s="22"/>
      <c r="B196" s="23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45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</row>
    <row r="197" spans="1:33" s="41" customFormat="1" ht="10.5" customHeight="1" x14ac:dyDescent="0.3">
      <c r="A197" s="220" t="s">
        <v>88</v>
      </c>
      <c r="B197" s="221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</row>
    <row r="198" spans="1:33" s="49" customFormat="1" ht="10.5" customHeight="1" x14ac:dyDescent="0.25">
      <c r="A198" s="49">
        <v>7</v>
      </c>
      <c r="B198" s="45" t="s">
        <v>39</v>
      </c>
      <c r="C198" s="45">
        <v>15</v>
      </c>
      <c r="D198" s="45"/>
      <c r="E198" s="45"/>
      <c r="F198" s="45"/>
      <c r="G198" s="45">
        <v>15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</row>
    <row r="199" spans="1:33" s="49" customFormat="1" ht="10.5" customHeight="1" x14ac:dyDescent="0.25">
      <c r="A199" s="48">
        <v>185</v>
      </c>
      <c r="B199" s="167" t="s">
        <v>48</v>
      </c>
      <c r="C199" s="167">
        <v>150</v>
      </c>
      <c r="D199" s="45">
        <v>132</v>
      </c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>
        <v>23.1</v>
      </c>
      <c r="V199" s="45"/>
      <c r="W199" s="45"/>
      <c r="X199" s="45">
        <v>4</v>
      </c>
      <c r="Y199" s="45"/>
      <c r="Z199" s="45"/>
      <c r="AA199" s="45"/>
      <c r="AB199" s="45"/>
      <c r="AC199" s="45"/>
      <c r="AD199" s="142">
        <v>5</v>
      </c>
      <c r="AE199" s="45"/>
      <c r="AF199" s="45"/>
      <c r="AG199" s="167">
        <v>0.5</v>
      </c>
    </row>
    <row r="200" spans="1:33" s="49" customFormat="1" ht="10.5" customHeight="1" x14ac:dyDescent="0.25">
      <c r="A200" s="45">
        <v>239</v>
      </c>
      <c r="B200" s="45" t="s">
        <v>120</v>
      </c>
      <c r="C200" s="45">
        <v>50</v>
      </c>
      <c r="D200" s="45">
        <v>12</v>
      </c>
      <c r="E200" s="45">
        <v>29</v>
      </c>
      <c r="F200" s="45"/>
      <c r="G200" s="45"/>
      <c r="H200" s="45"/>
      <c r="I200" s="45"/>
      <c r="J200" s="45"/>
      <c r="K200" s="45"/>
      <c r="L200" s="45">
        <v>4</v>
      </c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>
        <v>11</v>
      </c>
      <c r="X200" s="45"/>
      <c r="Y200" s="45">
        <v>2</v>
      </c>
      <c r="Z200" s="45"/>
      <c r="AA200" s="45"/>
      <c r="AB200" s="45"/>
      <c r="AC200" s="45"/>
      <c r="AD200" s="170">
        <v>5</v>
      </c>
      <c r="AE200" s="45"/>
      <c r="AF200" s="45"/>
      <c r="AG200" s="45">
        <v>0.2</v>
      </c>
    </row>
    <row r="201" spans="1:33" s="178" customFormat="1" ht="10.5" customHeight="1" x14ac:dyDescent="0.25">
      <c r="A201" s="170"/>
      <c r="B201" s="170" t="s">
        <v>221</v>
      </c>
      <c r="C201" s="170">
        <v>60</v>
      </c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>
        <v>57.6</v>
      </c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>
        <v>2.5</v>
      </c>
      <c r="AE201" s="170"/>
      <c r="AF201" s="170"/>
      <c r="AG201" s="170"/>
    </row>
    <row r="202" spans="1:33" s="49" customFormat="1" ht="10.5" customHeight="1" x14ac:dyDescent="0.25">
      <c r="A202" s="48">
        <v>392</v>
      </c>
      <c r="B202" s="48" t="s">
        <v>45</v>
      </c>
      <c r="C202" s="48">
        <v>180</v>
      </c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166">
        <v>0.84</v>
      </c>
      <c r="AB202" s="46"/>
      <c r="AC202" s="46"/>
      <c r="AD202" s="170">
        <v>5</v>
      </c>
      <c r="AE202" s="46"/>
      <c r="AF202" s="46"/>
      <c r="AG202" s="46"/>
    </row>
    <row r="203" spans="1:33" s="49" customFormat="1" ht="10.5" customHeight="1" x14ac:dyDescent="0.25">
      <c r="A203" s="67"/>
      <c r="B203" s="48" t="s">
        <v>34</v>
      </c>
      <c r="C203" s="48">
        <v>20</v>
      </c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>
        <v>20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</row>
    <row r="204" spans="1:33" s="49" customFormat="1" ht="10.5" customHeight="1" x14ac:dyDescent="0.25">
      <c r="A204" s="48"/>
      <c r="B204" s="48" t="s">
        <v>43</v>
      </c>
      <c r="C204" s="170">
        <v>100</v>
      </c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179">
        <v>100</v>
      </c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</row>
    <row r="205" spans="1:33" s="49" customFormat="1" ht="10.5" customHeight="1" x14ac:dyDescent="0.25">
      <c r="A205" s="79"/>
      <c r="B205" s="48"/>
      <c r="C205" s="57">
        <f>SUM(C198:C204)</f>
        <v>575</v>
      </c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</row>
    <row r="206" spans="1:33" s="49" customFormat="1" ht="10.5" customHeight="1" x14ac:dyDescent="0.25">
      <c r="A206" s="59" t="s">
        <v>53</v>
      </c>
      <c r="B206" s="48" t="s">
        <v>196</v>
      </c>
      <c r="C206" s="48">
        <v>200</v>
      </c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>
        <v>200</v>
      </c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</row>
    <row r="207" spans="1:33" s="45" customFormat="1" ht="10.5" customHeight="1" x14ac:dyDescent="0.25">
      <c r="A207" s="79"/>
      <c r="B207" s="48" t="s">
        <v>163</v>
      </c>
      <c r="C207" s="48">
        <v>20</v>
      </c>
      <c r="Z207" s="45">
        <v>20</v>
      </c>
    </row>
    <row r="208" spans="1:33" s="47" customFormat="1" ht="10.5" customHeight="1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</row>
    <row r="209" spans="1:33" s="168" customFormat="1" ht="10.5" customHeight="1" x14ac:dyDescent="0.25">
      <c r="A209" s="169" t="s">
        <v>53</v>
      </c>
      <c r="B209" s="169" t="s">
        <v>109</v>
      </c>
      <c r="C209" s="169">
        <v>60</v>
      </c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>
        <v>55</v>
      </c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>
        <v>3</v>
      </c>
      <c r="Z209" s="169"/>
      <c r="AA209" s="169"/>
      <c r="AB209" s="169"/>
      <c r="AC209" s="169"/>
      <c r="AD209" s="169">
        <v>2.25</v>
      </c>
      <c r="AE209" s="169"/>
      <c r="AF209" s="169"/>
      <c r="AG209" s="169"/>
    </row>
    <row r="210" spans="1:33" s="168" customFormat="1" ht="10.5" customHeight="1" x14ac:dyDescent="0.25">
      <c r="A210" s="169">
        <v>80</v>
      </c>
      <c r="B210" s="169" t="s">
        <v>114</v>
      </c>
      <c r="C210" s="169">
        <v>200</v>
      </c>
      <c r="D210" s="169"/>
      <c r="E210" s="169"/>
      <c r="F210" s="169"/>
      <c r="G210" s="169"/>
      <c r="H210" s="169"/>
      <c r="I210" s="169"/>
      <c r="J210" s="169"/>
      <c r="K210" s="169"/>
      <c r="L210" s="169"/>
      <c r="M210" s="169">
        <v>60</v>
      </c>
      <c r="N210" s="169">
        <v>16</v>
      </c>
      <c r="O210" s="169"/>
      <c r="P210" s="169"/>
      <c r="Q210" s="169"/>
      <c r="R210" s="169"/>
      <c r="S210" s="169"/>
      <c r="T210" s="169"/>
      <c r="U210" s="169">
        <v>4</v>
      </c>
      <c r="V210" s="169"/>
      <c r="W210" s="169"/>
      <c r="X210" s="169"/>
      <c r="Y210" s="169">
        <v>2</v>
      </c>
      <c r="Z210" s="169"/>
      <c r="AA210" s="169"/>
      <c r="AB210" s="169"/>
      <c r="AC210" s="169"/>
      <c r="AD210" s="169"/>
      <c r="AE210" s="169"/>
      <c r="AF210" s="169"/>
      <c r="AG210" s="169">
        <v>1.1000000000000001</v>
      </c>
    </row>
    <row r="211" spans="1:33" s="49" customFormat="1" ht="10.5" customHeight="1" x14ac:dyDescent="0.25">
      <c r="A211" s="48"/>
      <c r="B211" s="48" t="s">
        <v>117</v>
      </c>
      <c r="C211" s="48">
        <v>80</v>
      </c>
      <c r="D211" s="45">
        <v>8</v>
      </c>
      <c r="E211" s="45"/>
      <c r="F211" s="45"/>
      <c r="G211" s="45"/>
      <c r="H211" s="45"/>
      <c r="I211" s="45"/>
      <c r="J211" s="45">
        <v>55</v>
      </c>
      <c r="K211" s="45"/>
      <c r="L211" s="45">
        <v>10</v>
      </c>
      <c r="M211" s="45"/>
      <c r="N211" s="45">
        <f>16+6</f>
        <v>22</v>
      </c>
      <c r="O211" s="45"/>
      <c r="P211" s="45"/>
      <c r="Q211" s="45"/>
      <c r="R211" s="45"/>
      <c r="S211" s="45"/>
      <c r="T211" s="45">
        <v>6</v>
      </c>
      <c r="U211" s="45"/>
      <c r="V211" s="45"/>
      <c r="W211" s="45"/>
      <c r="X211" s="45">
        <v>3</v>
      </c>
      <c r="Y211" s="45"/>
      <c r="Z211" s="45"/>
      <c r="AA211" s="45"/>
      <c r="AB211" s="45"/>
      <c r="AC211" s="45"/>
      <c r="AD211" s="45"/>
      <c r="AE211" s="45"/>
      <c r="AF211" s="45"/>
      <c r="AG211" s="45">
        <v>1</v>
      </c>
    </row>
    <row r="212" spans="1:33" s="59" customFormat="1" ht="10.5" customHeight="1" x14ac:dyDescent="0.25">
      <c r="A212" s="48">
        <v>321</v>
      </c>
      <c r="B212" s="48" t="s">
        <v>44</v>
      </c>
      <c r="C212" s="170">
        <v>130</v>
      </c>
      <c r="D212" s="48">
        <v>19.5</v>
      </c>
      <c r="E212" s="48"/>
      <c r="F212" s="48"/>
      <c r="G212" s="48"/>
      <c r="H212" s="48"/>
      <c r="I212" s="48"/>
      <c r="J212" s="48"/>
      <c r="K212" s="48"/>
      <c r="L212" s="48"/>
      <c r="M212" s="167">
        <v>111.2</v>
      </c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>
        <v>3</v>
      </c>
      <c r="Y212" s="48"/>
      <c r="Z212" s="48"/>
      <c r="AA212" s="48"/>
      <c r="AB212" s="48"/>
      <c r="AC212" s="48"/>
      <c r="AD212" s="48"/>
      <c r="AE212" s="48"/>
      <c r="AF212" s="48"/>
      <c r="AG212" s="48">
        <v>1</v>
      </c>
    </row>
    <row r="213" spans="1:33" s="49" customFormat="1" ht="10.5" customHeight="1" x14ac:dyDescent="0.25">
      <c r="A213" s="48">
        <v>384</v>
      </c>
      <c r="B213" s="48" t="s">
        <v>51</v>
      </c>
      <c r="C213" s="48">
        <v>180</v>
      </c>
      <c r="D213" s="45">
        <v>126</v>
      </c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170">
        <v>7</v>
      </c>
      <c r="AE213" s="45"/>
      <c r="AF213" s="45">
        <v>9</v>
      </c>
      <c r="AG213" s="45"/>
    </row>
    <row r="214" spans="1:33" s="49" customFormat="1" ht="10.5" customHeight="1" x14ac:dyDescent="0.25">
      <c r="A214" s="48"/>
      <c r="B214" s="48" t="s">
        <v>160</v>
      </c>
      <c r="C214" s="48">
        <v>50</v>
      </c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>
        <v>50</v>
      </c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</row>
    <row r="215" spans="1:33" s="49" customFormat="1" ht="10.5" customHeight="1" x14ac:dyDescent="0.25">
      <c r="A215" s="45"/>
      <c r="B215" s="69"/>
      <c r="C215" s="57">
        <f>SUM(C209:C214)</f>
        <v>700</v>
      </c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</row>
    <row r="216" spans="1:33" s="168" customFormat="1" ht="10.5" customHeight="1" x14ac:dyDescent="0.25">
      <c r="A216" s="168" t="s">
        <v>53</v>
      </c>
      <c r="B216" s="168" t="s">
        <v>218</v>
      </c>
      <c r="C216" s="168">
        <v>60</v>
      </c>
      <c r="D216" s="169"/>
      <c r="E216" s="169"/>
      <c r="F216" s="169"/>
      <c r="G216" s="169"/>
      <c r="H216" s="169"/>
      <c r="I216" s="169"/>
      <c r="J216" s="169"/>
      <c r="K216" s="169"/>
      <c r="L216" s="169"/>
      <c r="M216" s="169">
        <v>24</v>
      </c>
      <c r="N216" s="169">
        <v>33</v>
      </c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>
        <v>3</v>
      </c>
      <c r="Z216" s="169"/>
      <c r="AA216" s="169"/>
      <c r="AB216" s="169"/>
      <c r="AC216" s="169"/>
      <c r="AD216" s="169"/>
      <c r="AE216" s="169"/>
      <c r="AF216" s="169"/>
      <c r="AG216" s="169">
        <v>0.06</v>
      </c>
    </row>
    <row r="217" spans="1:33" s="49" customFormat="1" ht="10.5" customHeight="1" x14ac:dyDescent="0.25">
      <c r="A217" s="48">
        <v>287</v>
      </c>
      <c r="B217" s="48" t="s">
        <v>173</v>
      </c>
      <c r="C217" s="48">
        <v>80</v>
      </c>
      <c r="D217" s="45"/>
      <c r="E217" s="45"/>
      <c r="F217" s="45">
        <v>10</v>
      </c>
      <c r="G217" s="45"/>
      <c r="H217" s="45">
        <v>51</v>
      </c>
      <c r="I217" s="45"/>
      <c r="J217" s="45"/>
      <c r="K217" s="45"/>
      <c r="L217" s="45"/>
      <c r="M217" s="45"/>
      <c r="N217" s="45">
        <v>15</v>
      </c>
      <c r="O217" s="45"/>
      <c r="P217" s="45"/>
      <c r="Q217" s="45"/>
      <c r="R217" s="45"/>
      <c r="S217" s="45"/>
      <c r="T217" s="45"/>
      <c r="U217" s="45">
        <v>7</v>
      </c>
      <c r="V217" s="45"/>
      <c r="W217" s="45">
        <v>5</v>
      </c>
      <c r="X217" s="142">
        <v>3</v>
      </c>
      <c r="Y217" s="45"/>
      <c r="Z217" s="45"/>
      <c r="AA217" s="45"/>
      <c r="AB217" s="45"/>
      <c r="AC217" s="45"/>
      <c r="AD217" s="45"/>
      <c r="AE217" s="45"/>
      <c r="AF217" s="45"/>
      <c r="AG217" s="45">
        <v>1</v>
      </c>
    </row>
    <row r="218" spans="1:33" s="59" customFormat="1" ht="10.5" customHeight="1" x14ac:dyDescent="0.25">
      <c r="A218" s="48">
        <v>336</v>
      </c>
      <c r="B218" s="48" t="s">
        <v>178</v>
      </c>
      <c r="C218" s="48">
        <v>150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>
        <v>183</v>
      </c>
      <c r="O218" s="48"/>
      <c r="P218" s="48"/>
      <c r="Q218" s="48"/>
      <c r="R218" s="48"/>
      <c r="S218" s="48"/>
      <c r="T218" s="48"/>
      <c r="U218" s="48"/>
      <c r="V218" s="48"/>
      <c r="W218" s="48">
        <v>1.8</v>
      </c>
      <c r="X218" s="48"/>
      <c r="Y218" s="167">
        <v>3.25</v>
      </c>
      <c r="Z218" s="48"/>
      <c r="AA218" s="48"/>
      <c r="AB218" s="48"/>
      <c r="AC218" s="48"/>
      <c r="AD218" s="48">
        <v>1.5</v>
      </c>
      <c r="AE218" s="48"/>
      <c r="AF218" s="48"/>
      <c r="AG218" s="48">
        <v>0.4</v>
      </c>
    </row>
    <row r="219" spans="1:33" s="49" customFormat="1" ht="10.5" customHeight="1" x14ac:dyDescent="0.25">
      <c r="A219" s="48">
        <v>401</v>
      </c>
      <c r="B219" s="48" t="s">
        <v>164</v>
      </c>
      <c r="C219" s="48">
        <v>200</v>
      </c>
      <c r="D219" s="45">
        <v>200</v>
      </c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</row>
    <row r="220" spans="1:33" s="49" customFormat="1" ht="10.5" customHeight="1" x14ac:dyDescent="0.25">
      <c r="A220" s="48"/>
      <c r="B220" s="48" t="s">
        <v>34</v>
      </c>
      <c r="C220" s="48">
        <v>30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>
        <v>30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</row>
    <row r="221" spans="1:33" s="49" customFormat="1" ht="10.5" customHeight="1" x14ac:dyDescent="0.25">
      <c r="A221" s="48"/>
      <c r="B221" s="48" t="s">
        <v>135</v>
      </c>
      <c r="C221" s="48">
        <v>25</v>
      </c>
      <c r="D221" s="46"/>
      <c r="E221" s="46"/>
      <c r="F221" s="46"/>
      <c r="G221" s="46"/>
      <c r="H221" s="46"/>
      <c r="I221" s="46"/>
      <c r="J221" s="46"/>
      <c r="K221" s="46"/>
      <c r="L221" s="46">
        <v>1</v>
      </c>
      <c r="M221" s="46"/>
      <c r="N221" s="46"/>
      <c r="O221" s="46"/>
      <c r="P221" s="46">
        <v>5</v>
      </c>
      <c r="Q221" s="46"/>
      <c r="R221" s="46"/>
      <c r="S221" s="46"/>
      <c r="T221" s="46"/>
      <c r="U221" s="46"/>
      <c r="V221" s="46"/>
      <c r="W221" s="46">
        <v>25.9</v>
      </c>
      <c r="X221" s="46">
        <v>0.5</v>
      </c>
      <c r="Y221" s="46">
        <v>0.13</v>
      </c>
      <c r="Z221" s="46"/>
      <c r="AA221" s="46"/>
      <c r="AB221" s="46"/>
      <c r="AC221" s="46"/>
      <c r="AD221" s="46">
        <v>0.5</v>
      </c>
      <c r="AE221" s="46">
        <v>0.6</v>
      </c>
      <c r="AF221" s="46"/>
      <c r="AG221" s="166">
        <v>0.2</v>
      </c>
    </row>
    <row r="222" spans="1:33" s="18" customFormat="1" ht="10.5" customHeight="1" x14ac:dyDescent="0.25">
      <c r="A222" s="6"/>
      <c r="B222" s="6"/>
      <c r="C222" s="42">
        <f>SUM(C216:C221)</f>
        <v>545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46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s="11" customFormat="1" ht="10.5" customHeight="1" x14ac:dyDescent="0.25">
      <c r="A223" s="9"/>
      <c r="B223" s="17" t="s">
        <v>86</v>
      </c>
      <c r="C223" s="9"/>
      <c r="D223" s="9">
        <f t="shared" ref="D223:AG223" si="9">SUM(D198:D221)</f>
        <v>497.5</v>
      </c>
      <c r="E223" s="9">
        <f t="shared" si="9"/>
        <v>29</v>
      </c>
      <c r="F223" s="9">
        <f t="shared" si="9"/>
        <v>10</v>
      </c>
      <c r="G223" s="9">
        <f t="shared" si="9"/>
        <v>15</v>
      </c>
      <c r="H223" s="9">
        <f t="shared" si="9"/>
        <v>51</v>
      </c>
      <c r="I223" s="9">
        <f t="shared" si="9"/>
        <v>0</v>
      </c>
      <c r="J223" s="9">
        <f t="shared" si="9"/>
        <v>55</v>
      </c>
      <c r="K223" s="9">
        <f t="shared" si="9"/>
        <v>0</v>
      </c>
      <c r="L223" s="9">
        <f t="shared" si="9"/>
        <v>15</v>
      </c>
      <c r="M223" s="9">
        <f t="shared" si="9"/>
        <v>195.2</v>
      </c>
      <c r="N223" s="9">
        <f t="shared" si="9"/>
        <v>381.6</v>
      </c>
      <c r="O223" s="9">
        <f t="shared" si="9"/>
        <v>100</v>
      </c>
      <c r="P223" s="9">
        <f t="shared" si="9"/>
        <v>5</v>
      </c>
      <c r="Q223" s="9">
        <f t="shared" si="9"/>
        <v>200</v>
      </c>
      <c r="R223" s="9">
        <f t="shared" si="9"/>
        <v>0</v>
      </c>
      <c r="S223" s="9">
        <f t="shared" si="9"/>
        <v>50</v>
      </c>
      <c r="T223" s="9">
        <f t="shared" si="9"/>
        <v>56</v>
      </c>
      <c r="U223" s="9">
        <f t="shared" si="9"/>
        <v>34.1</v>
      </c>
      <c r="V223" s="9">
        <f t="shared" si="9"/>
        <v>0</v>
      </c>
      <c r="W223" s="9">
        <f t="shared" si="9"/>
        <v>43.7</v>
      </c>
      <c r="X223" s="9">
        <f t="shared" si="9"/>
        <v>13.5</v>
      </c>
      <c r="Y223" s="9">
        <f t="shared" si="9"/>
        <v>13.38</v>
      </c>
      <c r="Z223" s="9">
        <f t="shared" si="9"/>
        <v>20</v>
      </c>
      <c r="AA223" s="9">
        <f t="shared" si="9"/>
        <v>0.84</v>
      </c>
      <c r="AB223" s="9">
        <f t="shared" si="9"/>
        <v>0</v>
      </c>
      <c r="AC223" s="9">
        <f t="shared" si="9"/>
        <v>0</v>
      </c>
      <c r="AD223" s="9">
        <f t="shared" si="9"/>
        <v>28.75</v>
      </c>
      <c r="AE223" s="9">
        <f t="shared" si="9"/>
        <v>0.6</v>
      </c>
      <c r="AF223" s="9">
        <f t="shared" si="9"/>
        <v>9</v>
      </c>
      <c r="AG223" s="9">
        <f t="shared" si="9"/>
        <v>5.46</v>
      </c>
    </row>
    <row r="224" spans="1:33" s="21" customFormat="1" ht="10.5" customHeight="1" x14ac:dyDescent="0.25">
      <c r="A224" s="19"/>
      <c r="B224" s="20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52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</row>
    <row r="225" spans="1:33" s="40" customFormat="1" ht="10.5" customHeight="1" x14ac:dyDescent="0.3">
      <c r="A225" s="220" t="s">
        <v>89</v>
      </c>
      <c r="B225" s="221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</row>
    <row r="226" spans="1:33" s="47" customFormat="1" ht="10.5" customHeight="1" x14ac:dyDescent="0.25">
      <c r="A226" s="48">
        <v>185</v>
      </c>
      <c r="B226" s="167" t="s">
        <v>93</v>
      </c>
      <c r="C226" s="167">
        <v>150</v>
      </c>
      <c r="D226" s="46">
        <v>132</v>
      </c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>
        <v>23.1</v>
      </c>
      <c r="V226" s="46"/>
      <c r="W226" s="46"/>
      <c r="X226" s="46"/>
      <c r="Y226" s="46"/>
      <c r="Z226" s="46"/>
      <c r="AA226" s="46"/>
      <c r="AB226" s="46"/>
      <c r="AC226" s="46"/>
      <c r="AD226" s="179">
        <v>5</v>
      </c>
      <c r="AE226" s="46"/>
      <c r="AF226" s="46"/>
      <c r="AG226" s="46">
        <v>0.2</v>
      </c>
    </row>
    <row r="227" spans="1:33" s="47" customFormat="1" ht="10.5" customHeight="1" x14ac:dyDescent="0.25">
      <c r="A227" s="59">
        <v>218</v>
      </c>
      <c r="B227" s="48" t="s">
        <v>208</v>
      </c>
      <c r="C227" s="169">
        <v>60</v>
      </c>
      <c r="D227" s="46">
        <v>10</v>
      </c>
      <c r="E227" s="46"/>
      <c r="F227" s="46"/>
      <c r="G227" s="46"/>
      <c r="H227" s="46"/>
      <c r="I227" s="46"/>
      <c r="J227" s="46"/>
      <c r="K227" s="46"/>
      <c r="L227" s="46">
        <v>30</v>
      </c>
      <c r="M227" s="46">
        <v>24</v>
      </c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>
        <v>3</v>
      </c>
      <c r="Y227" s="46"/>
      <c r="Z227" s="46"/>
      <c r="AA227" s="46"/>
      <c r="AB227" s="46"/>
      <c r="AC227" s="46"/>
      <c r="AD227" s="46"/>
      <c r="AE227" s="46"/>
      <c r="AF227" s="46"/>
      <c r="AG227" s="46">
        <v>0.3</v>
      </c>
    </row>
    <row r="228" spans="1:33" ht="10.5" customHeight="1" x14ac:dyDescent="0.25">
      <c r="A228" s="6">
        <v>397</v>
      </c>
      <c r="B228" s="6" t="s">
        <v>50</v>
      </c>
      <c r="C228" s="6">
        <v>180</v>
      </c>
      <c r="D228" s="5">
        <v>110</v>
      </c>
      <c r="W228" s="5"/>
      <c r="AB228" s="182">
        <v>3</v>
      </c>
      <c r="AC228" s="182"/>
      <c r="AD228" s="182">
        <v>5</v>
      </c>
    </row>
    <row r="229" spans="1:33" s="47" customFormat="1" ht="10.5" customHeight="1" x14ac:dyDescent="0.25">
      <c r="A229" s="48"/>
      <c r="B229" s="48" t="s">
        <v>160</v>
      </c>
      <c r="C229" s="48">
        <v>25</v>
      </c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>
        <v>25</v>
      </c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</row>
    <row r="230" spans="1:33" s="49" customFormat="1" ht="10.5" customHeight="1" x14ac:dyDescent="0.25">
      <c r="A230" s="48">
        <v>12</v>
      </c>
      <c r="B230" s="48" t="s">
        <v>140</v>
      </c>
      <c r="C230" s="59">
        <v>60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>
        <v>55.8</v>
      </c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>
        <v>3.6</v>
      </c>
      <c r="Z230" s="46"/>
      <c r="AA230" s="46"/>
      <c r="AB230" s="46"/>
      <c r="AC230" s="46"/>
      <c r="AD230" s="46">
        <v>1.2</v>
      </c>
      <c r="AE230" s="46"/>
      <c r="AF230" s="46"/>
      <c r="AG230" s="46"/>
    </row>
    <row r="231" spans="1:33" s="47" customFormat="1" ht="10.5" customHeight="1" x14ac:dyDescent="0.25">
      <c r="A231" s="48"/>
      <c r="B231" s="48"/>
      <c r="C231" s="57">
        <f>SUM(C226:C230)</f>
        <v>475</v>
      </c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</row>
    <row r="232" spans="1:33" s="47" customFormat="1" ht="10.5" customHeight="1" x14ac:dyDescent="0.25">
      <c r="A232" s="48">
        <v>399</v>
      </c>
      <c r="B232" s="48" t="s">
        <v>196</v>
      </c>
      <c r="C232" s="48">
        <v>180</v>
      </c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>
        <v>180</v>
      </c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</row>
    <row r="233" spans="1:33" s="49" customFormat="1" ht="10.5" customHeight="1" x14ac:dyDescent="0.25">
      <c r="A233" s="48"/>
      <c r="B233" s="48" t="s">
        <v>163</v>
      </c>
      <c r="C233" s="48">
        <v>20</v>
      </c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>
        <v>20</v>
      </c>
      <c r="AA233" s="45"/>
      <c r="AB233" s="45"/>
      <c r="AC233" s="45"/>
      <c r="AD233" s="45"/>
      <c r="AE233" s="45"/>
      <c r="AF233" s="45"/>
      <c r="AG233" s="45"/>
    </row>
    <row r="234" spans="1:33" s="49" customFormat="1" ht="10.5" customHeight="1" x14ac:dyDescent="0.25">
      <c r="A234" s="48"/>
      <c r="B234" s="48"/>
      <c r="C234" s="48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</row>
    <row r="235" spans="1:33" s="168" customFormat="1" ht="10.5" customHeight="1" x14ac:dyDescent="0.25">
      <c r="A235" s="169" t="s">
        <v>53</v>
      </c>
      <c r="B235" s="169" t="s">
        <v>110</v>
      </c>
      <c r="C235" s="169">
        <v>60</v>
      </c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>
        <v>63</v>
      </c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>
        <v>3</v>
      </c>
      <c r="Z235" s="169"/>
      <c r="AA235" s="169"/>
      <c r="AB235" s="169"/>
      <c r="AC235" s="169"/>
      <c r="AD235" s="169"/>
      <c r="AE235" s="169"/>
      <c r="AF235" s="169"/>
      <c r="AG235" s="169"/>
    </row>
    <row r="236" spans="1:33" s="168" customFormat="1" ht="10.5" customHeight="1" x14ac:dyDescent="0.25">
      <c r="A236" s="169">
        <v>57</v>
      </c>
      <c r="B236" s="169" t="s">
        <v>220</v>
      </c>
      <c r="C236" s="169">
        <v>200</v>
      </c>
      <c r="D236" s="169"/>
      <c r="E236" s="169"/>
      <c r="F236" s="169"/>
      <c r="G236" s="169"/>
      <c r="H236" s="169"/>
      <c r="I236" s="169"/>
      <c r="J236" s="169"/>
      <c r="K236" s="169"/>
      <c r="L236" s="169"/>
      <c r="M236" s="169">
        <v>16</v>
      </c>
      <c r="N236" s="169">
        <v>64.400000000000006</v>
      </c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>
        <v>4</v>
      </c>
      <c r="Z236" s="169"/>
      <c r="AA236" s="169"/>
      <c r="AB236" s="169"/>
      <c r="AC236" s="169"/>
      <c r="AD236" s="169">
        <v>2</v>
      </c>
      <c r="AE236" s="169"/>
      <c r="AF236" s="169"/>
      <c r="AG236" s="169">
        <v>1.1000000000000001</v>
      </c>
    </row>
    <row r="237" spans="1:33" s="59" customFormat="1" ht="10.5" customHeight="1" x14ac:dyDescent="0.25">
      <c r="A237" s="48"/>
      <c r="B237" s="48" t="s">
        <v>116</v>
      </c>
      <c r="C237" s="48">
        <v>80</v>
      </c>
      <c r="D237" s="48">
        <v>21</v>
      </c>
      <c r="E237" s="48"/>
      <c r="F237" s="48"/>
      <c r="G237" s="48"/>
      <c r="H237" s="48"/>
      <c r="I237" s="48">
        <v>59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>
        <v>15</v>
      </c>
      <c r="U237" s="48"/>
      <c r="V237" s="48"/>
      <c r="W237" s="48"/>
      <c r="X237" s="48">
        <v>3</v>
      </c>
      <c r="Y237" s="48"/>
      <c r="Z237" s="48"/>
      <c r="AA237" s="48"/>
      <c r="AB237" s="48"/>
      <c r="AC237" s="48"/>
      <c r="AD237" s="48"/>
      <c r="AE237" s="48"/>
      <c r="AF237" s="48"/>
      <c r="AG237" s="167">
        <v>0.2</v>
      </c>
    </row>
    <row r="238" spans="1:33" s="59" customFormat="1" ht="10.5" customHeight="1" x14ac:dyDescent="0.25">
      <c r="A238" s="48">
        <v>322</v>
      </c>
      <c r="B238" s="48" t="s">
        <v>153</v>
      </c>
      <c r="C238" s="169">
        <v>130</v>
      </c>
      <c r="D238" s="48">
        <v>19.5</v>
      </c>
      <c r="E238" s="48"/>
      <c r="F238" s="48"/>
      <c r="G238" s="48"/>
      <c r="H238" s="48"/>
      <c r="I238" s="48"/>
      <c r="J238" s="48"/>
      <c r="K238" s="48"/>
      <c r="L238" s="48"/>
      <c r="M238" s="48">
        <v>89.7</v>
      </c>
      <c r="N238" s="48">
        <v>27</v>
      </c>
      <c r="O238" s="48"/>
      <c r="P238" s="48"/>
      <c r="Q238" s="48"/>
      <c r="R238" s="48"/>
      <c r="S238" s="48"/>
      <c r="T238" s="48"/>
      <c r="U238" s="48"/>
      <c r="V238" s="48"/>
      <c r="W238" s="48"/>
      <c r="X238" s="48">
        <v>4.5</v>
      </c>
      <c r="Y238" s="48"/>
      <c r="Z238" s="48"/>
      <c r="AA238" s="48"/>
      <c r="AB238" s="48"/>
      <c r="AC238" s="48"/>
      <c r="AD238" s="48"/>
      <c r="AE238" s="48"/>
      <c r="AF238" s="48"/>
      <c r="AG238" s="48">
        <v>0.8</v>
      </c>
    </row>
    <row r="239" spans="1:33" s="47" customFormat="1" ht="10.5" customHeight="1" x14ac:dyDescent="0.25">
      <c r="A239" s="48">
        <v>376</v>
      </c>
      <c r="B239" s="48" t="s">
        <v>168</v>
      </c>
      <c r="C239" s="48">
        <v>200</v>
      </c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166">
        <v>20</v>
      </c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173">
        <v>7</v>
      </c>
      <c r="AE239" s="46"/>
      <c r="AF239" s="46"/>
      <c r="AG239" s="46"/>
    </row>
    <row r="240" spans="1:33" s="47" customFormat="1" ht="10.5" customHeight="1" x14ac:dyDescent="0.25">
      <c r="A240" s="48"/>
      <c r="B240" s="48" t="s">
        <v>34</v>
      </c>
      <c r="C240" s="48">
        <v>30</v>
      </c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>
        <v>30</v>
      </c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</row>
    <row r="241" spans="1:33" s="47" customFormat="1" ht="10.5" customHeight="1" x14ac:dyDescent="0.25">
      <c r="A241" s="45"/>
      <c r="B241" s="48" t="s">
        <v>160</v>
      </c>
      <c r="C241" s="48">
        <v>25</v>
      </c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>
        <v>25</v>
      </c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</row>
    <row r="242" spans="1:33" s="47" customFormat="1" ht="10.5" customHeight="1" x14ac:dyDescent="0.25">
      <c r="A242" s="46"/>
      <c r="B242" s="46"/>
      <c r="C242" s="60">
        <f>SUM(C235:C241)</f>
        <v>725</v>
      </c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</row>
    <row r="243" spans="1:33" s="183" customFormat="1" ht="10.5" customHeight="1" x14ac:dyDescent="0.25">
      <c r="A243" s="167" t="s">
        <v>53</v>
      </c>
      <c r="B243" s="167" t="s">
        <v>213</v>
      </c>
      <c r="C243" s="167">
        <v>60</v>
      </c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>
        <v>47.3</v>
      </c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>
        <v>3</v>
      </c>
      <c r="Z243" s="167"/>
      <c r="AA243" s="167"/>
      <c r="AB243" s="167"/>
      <c r="AC243" s="167"/>
      <c r="AD243" s="167">
        <v>3</v>
      </c>
      <c r="AE243" s="167"/>
      <c r="AF243" s="167"/>
      <c r="AG243" s="167">
        <v>0.5</v>
      </c>
    </row>
    <row r="244" spans="1:33" s="49" customFormat="1" ht="10.5" customHeight="1" x14ac:dyDescent="0.25">
      <c r="A244" s="48"/>
      <c r="B244" s="80" t="s">
        <v>142</v>
      </c>
      <c r="C244" s="48">
        <v>60</v>
      </c>
      <c r="D244" s="167">
        <v>15</v>
      </c>
      <c r="E244" s="45"/>
      <c r="F244" s="45"/>
      <c r="G244" s="45"/>
      <c r="H244" s="45"/>
      <c r="I244" s="45">
        <v>32</v>
      </c>
      <c r="J244" s="45"/>
      <c r="K244" s="45"/>
      <c r="L244" s="167">
        <v>7.08</v>
      </c>
      <c r="M244" s="45"/>
      <c r="N244" s="167">
        <v>8.6999999999999993</v>
      </c>
      <c r="O244" s="45"/>
      <c r="P244" s="45"/>
      <c r="Q244" s="45"/>
      <c r="R244" s="45"/>
      <c r="S244" s="45"/>
      <c r="T244" s="45">
        <v>6</v>
      </c>
      <c r="U244" s="45"/>
      <c r="V244" s="45"/>
      <c r="W244" s="45"/>
      <c r="X244" s="45">
        <v>2</v>
      </c>
      <c r="Y244" s="45"/>
      <c r="Z244" s="45"/>
      <c r="AA244" s="45"/>
      <c r="AB244" s="45"/>
      <c r="AC244" s="45"/>
      <c r="AD244" s="45"/>
      <c r="AE244" s="45"/>
      <c r="AF244" s="45"/>
      <c r="AG244" s="45">
        <v>0.2</v>
      </c>
    </row>
    <row r="245" spans="1:33" s="49" customFormat="1" ht="10.5" customHeight="1" x14ac:dyDescent="0.25">
      <c r="A245" s="48">
        <v>313</v>
      </c>
      <c r="B245" s="48" t="s">
        <v>154</v>
      </c>
      <c r="C245" s="48">
        <v>120</v>
      </c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>
        <v>48</v>
      </c>
      <c r="V245" s="45"/>
      <c r="W245" s="45"/>
      <c r="X245" s="45">
        <v>2</v>
      </c>
      <c r="Y245" s="45"/>
      <c r="Z245" s="45"/>
      <c r="AA245" s="45"/>
      <c r="AB245" s="45"/>
      <c r="AC245" s="45"/>
      <c r="AD245" s="45"/>
      <c r="AE245" s="45"/>
      <c r="AF245" s="45"/>
      <c r="AG245" s="45">
        <v>0.2</v>
      </c>
    </row>
    <row r="246" spans="1:33" s="49" customFormat="1" ht="10.5" customHeight="1" x14ac:dyDescent="0.25">
      <c r="A246" s="48">
        <v>401</v>
      </c>
      <c r="B246" s="48" t="s">
        <v>164</v>
      </c>
      <c r="C246" s="48">
        <v>200</v>
      </c>
      <c r="D246" s="45">
        <v>200</v>
      </c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</row>
    <row r="247" spans="1:33" s="135" customFormat="1" ht="10.5" customHeight="1" x14ac:dyDescent="0.25">
      <c r="A247" s="6">
        <v>458</v>
      </c>
      <c r="B247" s="6" t="s">
        <v>157</v>
      </c>
      <c r="C247" s="6">
        <v>35</v>
      </c>
      <c r="D247" s="6"/>
      <c r="E247" s="6">
        <v>12</v>
      </c>
      <c r="F247" s="6"/>
      <c r="G247" s="6"/>
      <c r="H247" s="6"/>
      <c r="I247" s="6"/>
      <c r="J247" s="6"/>
      <c r="K247" s="6"/>
      <c r="L247" s="184">
        <v>0.04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84">
        <v>19.37</v>
      </c>
      <c r="X247" s="6"/>
      <c r="Y247" s="184">
        <v>0.13</v>
      </c>
      <c r="Z247" s="6"/>
      <c r="AA247" s="6"/>
      <c r="AB247" s="6"/>
      <c r="AC247" s="6"/>
      <c r="AD247" s="184">
        <v>3</v>
      </c>
      <c r="AE247" s="6">
        <v>0.5</v>
      </c>
      <c r="AF247" s="6"/>
      <c r="AG247" s="6">
        <v>0.2</v>
      </c>
    </row>
    <row r="248" spans="1:33" s="49" customFormat="1" ht="10.5" customHeight="1" x14ac:dyDescent="0.25">
      <c r="A248" s="48"/>
      <c r="B248" s="48" t="s">
        <v>34</v>
      </c>
      <c r="C248" s="48">
        <v>30</v>
      </c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>
        <v>30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</row>
    <row r="249" spans="1:33" s="49" customFormat="1" ht="10.5" customHeight="1" x14ac:dyDescent="0.25">
      <c r="A249" s="48"/>
      <c r="B249" s="48" t="s">
        <v>43</v>
      </c>
      <c r="C249" s="170">
        <v>100</v>
      </c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170">
        <v>100</v>
      </c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</row>
    <row r="250" spans="1:33" s="18" customFormat="1" ht="10.5" customHeight="1" x14ac:dyDescent="0.25">
      <c r="A250" s="6"/>
      <c r="B250" s="6"/>
      <c r="C250" s="42">
        <f>SUM(C243:C249)</f>
        <v>605</v>
      </c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45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</row>
    <row r="251" spans="1:33" s="11" customFormat="1" ht="10.5" customHeight="1" x14ac:dyDescent="0.25">
      <c r="A251" s="14"/>
      <c r="B251" s="16" t="s">
        <v>86</v>
      </c>
      <c r="C251" s="14"/>
      <c r="D251" s="9">
        <f t="shared" ref="D251:AG251" si="10">SUM(D226:D250)</f>
        <v>507.5</v>
      </c>
      <c r="E251" s="9">
        <f t="shared" si="10"/>
        <v>12</v>
      </c>
      <c r="F251" s="9">
        <f t="shared" si="10"/>
        <v>0</v>
      </c>
      <c r="G251" s="9">
        <f t="shared" si="10"/>
        <v>0</v>
      </c>
      <c r="H251" s="9">
        <f t="shared" si="10"/>
        <v>0</v>
      </c>
      <c r="I251" s="9">
        <f t="shared" si="10"/>
        <v>91</v>
      </c>
      <c r="J251" s="9">
        <f t="shared" si="10"/>
        <v>0</v>
      </c>
      <c r="K251" s="9">
        <f t="shared" si="10"/>
        <v>0</v>
      </c>
      <c r="L251" s="9">
        <f t="shared" si="10"/>
        <v>37.119999999999997</v>
      </c>
      <c r="M251" s="9">
        <f t="shared" si="10"/>
        <v>129.69999999999999</v>
      </c>
      <c r="N251" s="9">
        <f t="shared" si="10"/>
        <v>266.2</v>
      </c>
      <c r="O251" s="9">
        <f t="shared" si="10"/>
        <v>100</v>
      </c>
      <c r="P251" s="9">
        <f t="shared" si="10"/>
        <v>20</v>
      </c>
      <c r="Q251" s="9">
        <f t="shared" si="10"/>
        <v>180</v>
      </c>
      <c r="R251" s="9">
        <f t="shared" si="10"/>
        <v>0</v>
      </c>
      <c r="S251" s="9">
        <f t="shared" si="10"/>
        <v>50</v>
      </c>
      <c r="T251" s="9">
        <f t="shared" si="10"/>
        <v>81</v>
      </c>
      <c r="U251" s="9">
        <f t="shared" si="10"/>
        <v>71.099999999999994</v>
      </c>
      <c r="V251" s="9">
        <f t="shared" si="10"/>
        <v>0</v>
      </c>
      <c r="W251" s="9">
        <f t="shared" si="10"/>
        <v>19.37</v>
      </c>
      <c r="X251" s="9">
        <f t="shared" si="10"/>
        <v>14.5</v>
      </c>
      <c r="Y251" s="9">
        <f t="shared" si="10"/>
        <v>13.73</v>
      </c>
      <c r="Z251" s="9">
        <f t="shared" si="10"/>
        <v>20</v>
      </c>
      <c r="AA251" s="9">
        <f t="shared" si="10"/>
        <v>0</v>
      </c>
      <c r="AB251" s="9">
        <f t="shared" si="10"/>
        <v>3</v>
      </c>
      <c r="AC251" s="9">
        <f t="shared" si="10"/>
        <v>0</v>
      </c>
      <c r="AD251" s="9">
        <f t="shared" si="10"/>
        <v>26.2</v>
      </c>
      <c r="AE251" s="9">
        <f t="shared" si="10"/>
        <v>0.5</v>
      </c>
      <c r="AF251" s="9">
        <f t="shared" si="10"/>
        <v>0</v>
      </c>
      <c r="AG251" s="9">
        <f t="shared" si="10"/>
        <v>3.7000000000000006</v>
      </c>
    </row>
    <row r="252" spans="1:33" s="40" customFormat="1" ht="10.5" customHeight="1" x14ac:dyDescent="0.3">
      <c r="A252" s="220" t="s">
        <v>90</v>
      </c>
      <c r="B252" s="221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</row>
    <row r="253" spans="1:33" s="59" customFormat="1" ht="10.5" customHeight="1" x14ac:dyDescent="0.25">
      <c r="A253" s="48">
        <v>2</v>
      </c>
      <c r="B253" s="48" t="s">
        <v>195</v>
      </c>
      <c r="C253" s="48">
        <v>55</v>
      </c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>
        <v>30</v>
      </c>
      <c r="U253" s="48"/>
      <c r="V253" s="48"/>
      <c r="W253" s="48"/>
      <c r="X253" s="48">
        <v>5</v>
      </c>
      <c r="Y253" s="48"/>
      <c r="Z253" s="48">
        <v>20</v>
      </c>
      <c r="AA253" s="48"/>
      <c r="AB253" s="48"/>
      <c r="AC253" s="48"/>
      <c r="AD253" s="48"/>
      <c r="AE253" s="48"/>
      <c r="AF253" s="48"/>
      <c r="AG253" s="48"/>
    </row>
    <row r="254" spans="1:33" s="47" customFormat="1" ht="10.5" customHeight="1" x14ac:dyDescent="0.25">
      <c r="A254" s="48">
        <v>94</v>
      </c>
      <c r="B254" s="45" t="s">
        <v>166</v>
      </c>
      <c r="C254" s="45">
        <v>180</v>
      </c>
      <c r="D254" s="46">
        <v>126</v>
      </c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>
        <v>10.8</v>
      </c>
      <c r="V254" s="46"/>
      <c r="W254" s="46"/>
      <c r="X254" s="46">
        <v>5</v>
      </c>
      <c r="Y254" s="46"/>
      <c r="Z254" s="46"/>
      <c r="AA254" s="46"/>
      <c r="AB254" s="46"/>
      <c r="AC254" s="46"/>
      <c r="AD254" s="179">
        <v>5</v>
      </c>
      <c r="AE254" s="46"/>
      <c r="AF254" s="46"/>
      <c r="AG254" s="46">
        <v>0.5</v>
      </c>
    </row>
    <row r="255" spans="1:33" s="168" customFormat="1" ht="10.5" customHeight="1" x14ac:dyDescent="0.25">
      <c r="A255" s="169">
        <v>219</v>
      </c>
      <c r="B255" s="169" t="s">
        <v>219</v>
      </c>
      <c r="C255" s="169">
        <v>60</v>
      </c>
      <c r="D255" s="169">
        <v>23</v>
      </c>
      <c r="E255" s="169"/>
      <c r="F255" s="169"/>
      <c r="G255" s="169"/>
      <c r="H255" s="169"/>
      <c r="I255" s="169"/>
      <c r="J255" s="169"/>
      <c r="K255" s="169"/>
      <c r="L255" s="169">
        <v>30</v>
      </c>
      <c r="M255" s="169"/>
      <c r="N255" s="169">
        <v>7</v>
      </c>
      <c r="O255" s="169"/>
      <c r="P255" s="169"/>
      <c r="Q255" s="169"/>
      <c r="R255" s="169"/>
      <c r="S255" s="169"/>
      <c r="T255" s="169"/>
      <c r="U255" s="169"/>
      <c r="V255" s="169"/>
      <c r="W255" s="169">
        <v>3</v>
      </c>
      <c r="X255" s="169">
        <v>3</v>
      </c>
      <c r="Y255" s="169"/>
      <c r="Z255" s="169"/>
      <c r="AA255" s="169"/>
      <c r="AB255" s="169"/>
      <c r="AC255" s="169"/>
      <c r="AD255" s="169"/>
      <c r="AE255" s="169"/>
      <c r="AF255" s="169"/>
      <c r="AG255" s="169">
        <v>0.2</v>
      </c>
    </row>
    <row r="256" spans="1:33" s="181" customFormat="1" ht="10.5" customHeight="1" x14ac:dyDescent="0.25">
      <c r="A256" s="172"/>
      <c r="B256" s="172" t="s">
        <v>216</v>
      </c>
      <c r="C256" s="172">
        <v>50</v>
      </c>
      <c r="D256" s="172"/>
      <c r="E256" s="172"/>
      <c r="F256" s="172"/>
      <c r="G256" s="172"/>
      <c r="H256" s="172"/>
      <c r="I256" s="172"/>
      <c r="J256" s="172"/>
      <c r="K256" s="172">
        <v>46</v>
      </c>
      <c r="L256" s="172">
        <v>10</v>
      </c>
      <c r="M256" s="172"/>
      <c r="N256" s="172">
        <v>6</v>
      </c>
      <c r="O256" s="172"/>
      <c r="P256" s="172"/>
      <c r="Q256" s="172"/>
      <c r="R256" s="172"/>
      <c r="S256" s="172"/>
      <c r="T256" s="172"/>
      <c r="U256" s="172"/>
      <c r="V256" s="172"/>
      <c r="W256" s="169">
        <v>10</v>
      </c>
      <c r="X256" s="172">
        <v>6</v>
      </c>
      <c r="Y256" s="172"/>
      <c r="Z256" s="172"/>
      <c r="AA256" s="172"/>
      <c r="AB256" s="172"/>
      <c r="AC256" s="172"/>
      <c r="AD256" s="172"/>
      <c r="AE256" s="172"/>
      <c r="AF256" s="172"/>
      <c r="AG256" s="172">
        <v>1</v>
      </c>
    </row>
    <row r="257" spans="1:33" s="49" customFormat="1" ht="10.5" customHeight="1" x14ac:dyDescent="0.25">
      <c r="A257" s="48">
        <v>392</v>
      </c>
      <c r="B257" s="48" t="s">
        <v>45</v>
      </c>
      <c r="C257" s="48">
        <v>180</v>
      </c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166">
        <v>0.84</v>
      </c>
      <c r="AB257" s="46"/>
      <c r="AC257" s="46"/>
      <c r="AD257" s="179">
        <v>5</v>
      </c>
      <c r="AE257" s="46"/>
      <c r="AF257" s="46"/>
      <c r="AG257" s="46"/>
    </row>
    <row r="258" spans="1:33" s="49" customFormat="1" ht="10.5" customHeight="1" x14ac:dyDescent="0.25">
      <c r="A258" s="48"/>
      <c r="B258" s="48" t="s">
        <v>160</v>
      </c>
      <c r="C258" s="48">
        <v>25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>
        <v>25</v>
      </c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</row>
    <row r="259" spans="1:33" s="47" customFormat="1" ht="10.5" customHeight="1" x14ac:dyDescent="0.25">
      <c r="A259" s="46"/>
      <c r="B259" s="46"/>
      <c r="C259" s="60">
        <f>SUM(C253:C258)</f>
        <v>550</v>
      </c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</row>
    <row r="260" spans="1:33" s="47" customFormat="1" ht="10.5" customHeight="1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</row>
    <row r="261" spans="1:33" s="49" customFormat="1" ht="10.5" customHeight="1" x14ac:dyDescent="0.25">
      <c r="A261" s="48">
        <v>401</v>
      </c>
      <c r="B261" s="48" t="s">
        <v>196</v>
      </c>
      <c r="C261" s="48">
        <v>180</v>
      </c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>
        <v>180</v>
      </c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</row>
    <row r="262" spans="1:33" s="47" customFormat="1" ht="10.5" customHeight="1" x14ac:dyDescent="0.25">
      <c r="A262" s="48"/>
      <c r="B262" s="48"/>
      <c r="C262" s="48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</row>
    <row r="263" spans="1:33" s="47" customFormat="1" ht="10.5" customHeight="1" x14ac:dyDescent="0.25">
      <c r="A263" s="46">
        <v>34</v>
      </c>
      <c r="B263" s="46" t="s">
        <v>102</v>
      </c>
      <c r="C263" s="46">
        <v>60</v>
      </c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>
        <f>(50+25+1+18)*0.6</f>
        <v>56.4</v>
      </c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>
        <v>3.6</v>
      </c>
      <c r="Z263" s="46"/>
      <c r="AA263" s="46"/>
      <c r="AB263" s="46"/>
      <c r="AC263" s="46"/>
      <c r="AD263" s="46"/>
      <c r="AE263" s="46"/>
      <c r="AF263" s="46"/>
      <c r="AG263" s="46">
        <v>0.09</v>
      </c>
    </row>
    <row r="264" spans="1:33" s="49" customFormat="1" ht="9.75" customHeight="1" x14ac:dyDescent="0.25">
      <c r="A264" s="48">
        <v>85</v>
      </c>
      <c r="B264" s="167" t="s">
        <v>155</v>
      </c>
      <c r="C264" s="167">
        <v>180</v>
      </c>
      <c r="D264" s="45">
        <v>4.8</v>
      </c>
      <c r="E264" s="45"/>
      <c r="F264" s="45"/>
      <c r="G264" s="45"/>
      <c r="H264" s="45"/>
      <c r="I264" s="45"/>
      <c r="J264" s="45"/>
      <c r="K264" s="45"/>
      <c r="L264" s="167">
        <v>0.08</v>
      </c>
      <c r="M264" s="45">
        <v>34</v>
      </c>
      <c r="N264" s="45">
        <v>20.399999999999999</v>
      </c>
      <c r="O264" s="45"/>
      <c r="P264" s="45"/>
      <c r="Q264" s="45"/>
      <c r="R264" s="45"/>
      <c r="S264" s="45"/>
      <c r="T264" s="45"/>
      <c r="U264" s="45"/>
      <c r="V264" s="45"/>
      <c r="W264" s="45">
        <v>3.08</v>
      </c>
      <c r="X264" s="48">
        <v>0.65</v>
      </c>
      <c r="Y264" s="45"/>
      <c r="Z264" s="45"/>
      <c r="AA264" s="45"/>
      <c r="AB264" s="45"/>
      <c r="AC264" s="45"/>
      <c r="AD264" s="45"/>
      <c r="AE264" s="45"/>
      <c r="AF264" s="45"/>
      <c r="AG264" s="167">
        <v>1.1000000000000001</v>
      </c>
    </row>
    <row r="265" spans="1:33" s="59" customFormat="1" ht="10.5" customHeight="1" x14ac:dyDescent="0.25">
      <c r="A265" s="48"/>
      <c r="B265" s="48" t="s">
        <v>128</v>
      </c>
      <c r="C265" s="48">
        <v>160</v>
      </c>
      <c r="D265" s="48"/>
      <c r="E265" s="48"/>
      <c r="F265" s="48"/>
      <c r="G265" s="48"/>
      <c r="H265" s="48">
        <v>60</v>
      </c>
      <c r="I265" s="48"/>
      <c r="J265" s="48"/>
      <c r="K265" s="48"/>
      <c r="L265" s="48">
        <v>5</v>
      </c>
      <c r="M265" s="48"/>
      <c r="N265" s="48">
        <f>96+13</f>
        <v>109</v>
      </c>
      <c r="O265" s="48"/>
      <c r="P265" s="48"/>
      <c r="Q265" s="48"/>
      <c r="R265" s="48"/>
      <c r="S265" s="48"/>
      <c r="T265" s="48"/>
      <c r="U265" s="167">
        <v>23</v>
      </c>
      <c r="V265" s="48"/>
      <c r="W265" s="48"/>
      <c r="X265" s="48">
        <v>4</v>
      </c>
      <c r="Y265" s="48"/>
      <c r="Z265" s="48"/>
      <c r="AA265" s="48"/>
      <c r="AB265" s="48"/>
      <c r="AC265" s="48"/>
      <c r="AD265" s="48"/>
      <c r="AE265" s="48"/>
      <c r="AF265" s="48"/>
      <c r="AG265" s="48">
        <v>0.5</v>
      </c>
    </row>
    <row r="266" spans="1:33" s="49" customFormat="1" ht="10.5" customHeight="1" x14ac:dyDescent="0.25">
      <c r="A266" s="48">
        <v>355</v>
      </c>
      <c r="B266" s="48" t="s">
        <v>197</v>
      </c>
      <c r="C266" s="48">
        <v>30</v>
      </c>
      <c r="D266" s="45"/>
      <c r="E266" s="45"/>
      <c r="F266" s="45">
        <f>2.5*3</f>
        <v>7.5</v>
      </c>
      <c r="G266" s="45"/>
      <c r="H266" s="45"/>
      <c r="I266" s="45"/>
      <c r="J266" s="45"/>
      <c r="K266" s="45"/>
      <c r="L266" s="45"/>
      <c r="M266" s="45"/>
      <c r="N266" s="45">
        <v>3</v>
      </c>
      <c r="O266" s="45"/>
      <c r="P266" s="45"/>
      <c r="Q266" s="45"/>
      <c r="R266" s="45"/>
      <c r="S266" s="45"/>
      <c r="T266" s="45"/>
      <c r="U266" s="45"/>
      <c r="V266" s="45"/>
      <c r="W266" s="45">
        <f>0.75*3</f>
        <v>2.25</v>
      </c>
      <c r="X266" s="45"/>
      <c r="Y266" s="45"/>
      <c r="Z266" s="45"/>
      <c r="AA266" s="45"/>
      <c r="AB266" s="45"/>
      <c r="AC266" s="45"/>
      <c r="AD266" s="45"/>
      <c r="AE266" s="45"/>
      <c r="AF266" s="45"/>
      <c r="AG266" s="45">
        <v>0.24</v>
      </c>
    </row>
    <row r="267" spans="1:33" s="49" customFormat="1" ht="10.5" customHeight="1" x14ac:dyDescent="0.25">
      <c r="A267" s="48">
        <v>384</v>
      </c>
      <c r="B267" s="48" t="s">
        <v>51</v>
      </c>
      <c r="C267" s="48">
        <v>180</v>
      </c>
      <c r="D267" s="45">
        <v>126</v>
      </c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170">
        <v>10</v>
      </c>
      <c r="AE267" s="45"/>
      <c r="AF267" s="45">
        <v>9</v>
      </c>
      <c r="AG267" s="45"/>
    </row>
    <row r="268" spans="1:33" s="49" customFormat="1" ht="10.5" customHeight="1" x14ac:dyDescent="0.25">
      <c r="A268" s="48"/>
      <c r="B268" s="48" t="s">
        <v>34</v>
      </c>
      <c r="C268" s="48">
        <v>30</v>
      </c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>
        <v>30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</row>
    <row r="269" spans="1:33" s="183" customFormat="1" ht="10.5" customHeight="1" x14ac:dyDescent="0.25">
      <c r="A269" s="167"/>
      <c r="B269" s="167" t="s">
        <v>160</v>
      </c>
      <c r="C269" s="167">
        <v>25</v>
      </c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>
        <v>25</v>
      </c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</row>
    <row r="270" spans="1:33" s="47" customFormat="1" ht="10.5" customHeight="1" x14ac:dyDescent="0.25">
      <c r="A270" s="46"/>
      <c r="B270" s="46"/>
      <c r="C270" s="60">
        <f>SUM(C263:C269)</f>
        <v>665</v>
      </c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</row>
    <row r="271" spans="1:33" s="47" customFormat="1" ht="10.5" customHeight="1" x14ac:dyDescent="0.25">
      <c r="A271" s="48" t="s">
        <v>107</v>
      </c>
      <c r="B271" s="48" t="s">
        <v>108</v>
      </c>
      <c r="C271" s="48">
        <v>50</v>
      </c>
      <c r="D271" s="46"/>
      <c r="E271" s="46"/>
      <c r="F271" s="46"/>
      <c r="G271" s="46"/>
      <c r="H271" s="46"/>
      <c r="I271" s="46"/>
      <c r="J271" s="46"/>
      <c r="K271" s="46"/>
      <c r="L271" s="46"/>
      <c r="M271" s="46">
        <v>12.85</v>
      </c>
      <c r="N271" s="46">
        <v>35</v>
      </c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>
        <v>1.8</v>
      </c>
      <c r="Z271" s="46"/>
      <c r="AA271" s="46"/>
      <c r="AB271" s="46"/>
      <c r="AC271" s="46"/>
      <c r="AD271" s="46"/>
      <c r="AE271" s="46"/>
      <c r="AF271" s="46"/>
      <c r="AG271" s="46">
        <v>0.09</v>
      </c>
    </row>
    <row r="272" spans="1:33" ht="10.5" customHeight="1" x14ac:dyDescent="0.25">
      <c r="A272" s="22"/>
      <c r="B272" s="22" t="s">
        <v>124</v>
      </c>
      <c r="C272" s="22">
        <v>80</v>
      </c>
      <c r="D272" s="5">
        <v>24</v>
      </c>
      <c r="J272" s="5">
        <v>64</v>
      </c>
      <c r="L272" s="5">
        <v>7</v>
      </c>
      <c r="T272" s="5">
        <v>7</v>
      </c>
      <c r="W272" s="5"/>
      <c r="X272" s="5">
        <v>4</v>
      </c>
      <c r="AG272" s="5">
        <v>0.5</v>
      </c>
    </row>
    <row r="273" spans="1:33" s="183" customFormat="1" ht="10.5" customHeight="1" x14ac:dyDescent="0.25">
      <c r="A273" s="167">
        <v>322</v>
      </c>
      <c r="B273" s="167" t="s">
        <v>153</v>
      </c>
      <c r="C273" s="167">
        <v>130</v>
      </c>
      <c r="D273" s="167">
        <v>19.5</v>
      </c>
      <c r="E273" s="167"/>
      <c r="F273" s="167"/>
      <c r="G273" s="167"/>
      <c r="H273" s="167"/>
      <c r="I273" s="167"/>
      <c r="J273" s="167"/>
      <c r="K273" s="167"/>
      <c r="L273" s="167"/>
      <c r="M273" s="167">
        <v>89.7</v>
      </c>
      <c r="N273" s="167">
        <v>27</v>
      </c>
      <c r="O273" s="167"/>
      <c r="P273" s="167"/>
      <c r="Q273" s="167"/>
      <c r="R273" s="167"/>
      <c r="S273" s="167"/>
      <c r="T273" s="167"/>
      <c r="U273" s="167"/>
      <c r="V273" s="167"/>
      <c r="W273" s="167"/>
      <c r="X273" s="167">
        <v>4.5</v>
      </c>
      <c r="Y273" s="167"/>
      <c r="Z273" s="167"/>
      <c r="AA273" s="167"/>
      <c r="AB273" s="167"/>
      <c r="AC273" s="167"/>
      <c r="AD273" s="167"/>
      <c r="AE273" s="167"/>
      <c r="AF273" s="167"/>
      <c r="AG273" s="167">
        <v>0.8</v>
      </c>
    </row>
    <row r="274" spans="1:33" s="49" customFormat="1" ht="10.5" customHeight="1" x14ac:dyDescent="0.25">
      <c r="A274" s="48">
        <v>476</v>
      </c>
      <c r="B274" s="48" t="s">
        <v>139</v>
      </c>
      <c r="C274" s="48">
        <v>30</v>
      </c>
      <c r="D274" s="45"/>
      <c r="E274" s="45"/>
      <c r="F274" s="45"/>
      <c r="G274" s="45"/>
      <c r="H274" s="45"/>
      <c r="I274" s="45"/>
      <c r="J274" s="45"/>
      <c r="K274" s="45"/>
      <c r="L274" s="167">
        <v>0.35</v>
      </c>
      <c r="M274" s="45"/>
      <c r="N274" s="45">
        <v>4</v>
      </c>
      <c r="O274" s="45"/>
      <c r="P274" s="45"/>
      <c r="Q274" s="45"/>
      <c r="R274" s="45"/>
      <c r="S274" s="45"/>
      <c r="T274" s="45"/>
      <c r="U274" s="45"/>
      <c r="V274" s="45"/>
      <c r="W274" s="45">
        <v>37.9</v>
      </c>
      <c r="X274" s="45"/>
      <c r="Y274" s="45">
        <v>1.0900000000000001</v>
      </c>
      <c r="Z274" s="45"/>
      <c r="AA274" s="45"/>
      <c r="AB274" s="45"/>
      <c r="AC274" s="45"/>
      <c r="AD274" s="45">
        <v>2</v>
      </c>
      <c r="AE274" s="45">
        <v>0.6</v>
      </c>
      <c r="AF274" s="45"/>
      <c r="AG274" s="167">
        <v>0.35</v>
      </c>
    </row>
    <row r="275" spans="1:33" ht="10.5" customHeight="1" x14ac:dyDescent="0.25">
      <c r="A275" s="22">
        <v>401</v>
      </c>
      <c r="B275" s="22" t="s">
        <v>164</v>
      </c>
      <c r="C275" s="22">
        <v>200</v>
      </c>
      <c r="D275" s="5">
        <v>200</v>
      </c>
      <c r="W275" s="5"/>
    </row>
    <row r="276" spans="1:33" ht="10.5" customHeight="1" x14ac:dyDescent="0.25">
      <c r="A276" s="22"/>
      <c r="B276" s="22" t="s">
        <v>34</v>
      </c>
      <c r="C276" s="22">
        <v>20</v>
      </c>
      <c r="T276" s="5">
        <v>20</v>
      </c>
      <c r="W276" s="5"/>
    </row>
    <row r="277" spans="1:33" s="47" customFormat="1" ht="10.5" customHeight="1" x14ac:dyDescent="0.25">
      <c r="A277" s="46">
        <v>368</v>
      </c>
      <c r="B277" s="46" t="s">
        <v>151</v>
      </c>
      <c r="C277" s="173">
        <v>100</v>
      </c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173">
        <v>100</v>
      </c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</row>
    <row r="278" spans="1:33" ht="10.5" customHeight="1" x14ac:dyDescent="0.25">
      <c r="A278" s="6"/>
      <c r="B278" s="6"/>
      <c r="C278" s="42">
        <f>SUM(C271:C277)</f>
        <v>610</v>
      </c>
    </row>
    <row r="279" spans="1:33" s="11" customFormat="1" ht="10.5" customHeight="1" x14ac:dyDescent="0.25">
      <c r="A279" s="14"/>
      <c r="B279" s="16" t="s">
        <v>86</v>
      </c>
      <c r="C279" s="14"/>
      <c r="D279" s="9">
        <f t="shared" ref="D279:AG279" si="11">SUM(D253:D276)</f>
        <v>523.29999999999995</v>
      </c>
      <c r="E279" s="9">
        <f t="shared" si="11"/>
        <v>0</v>
      </c>
      <c r="F279" s="9">
        <f t="shared" si="11"/>
        <v>7.5</v>
      </c>
      <c r="G279" s="9">
        <f t="shared" si="11"/>
        <v>0</v>
      </c>
      <c r="H279" s="9">
        <f t="shared" si="11"/>
        <v>60</v>
      </c>
      <c r="I279" s="9">
        <f t="shared" si="11"/>
        <v>0</v>
      </c>
      <c r="J279" s="9">
        <f t="shared" si="11"/>
        <v>64</v>
      </c>
      <c r="K279" s="9">
        <f t="shared" si="11"/>
        <v>46</v>
      </c>
      <c r="L279" s="9">
        <f t="shared" si="11"/>
        <v>52.43</v>
      </c>
      <c r="M279" s="9">
        <f t="shared" si="11"/>
        <v>136.55000000000001</v>
      </c>
      <c r="N279" s="9">
        <f t="shared" si="11"/>
        <v>267.8</v>
      </c>
      <c r="O279" s="9">
        <f>SUM(O271:O277)</f>
        <v>100</v>
      </c>
      <c r="P279" s="9">
        <f t="shared" si="11"/>
        <v>0</v>
      </c>
      <c r="Q279" s="9">
        <f t="shared" si="11"/>
        <v>180</v>
      </c>
      <c r="R279" s="9">
        <f t="shared" si="11"/>
        <v>0</v>
      </c>
      <c r="S279" s="9">
        <f t="shared" si="11"/>
        <v>50</v>
      </c>
      <c r="T279" s="9">
        <f t="shared" si="11"/>
        <v>87</v>
      </c>
      <c r="U279" s="9">
        <f t="shared" si="11"/>
        <v>33.799999999999997</v>
      </c>
      <c r="V279" s="9">
        <f t="shared" si="11"/>
        <v>0</v>
      </c>
      <c r="W279" s="9">
        <f t="shared" si="11"/>
        <v>56.23</v>
      </c>
      <c r="X279" s="9">
        <f t="shared" si="11"/>
        <v>32.15</v>
      </c>
      <c r="Y279" s="9">
        <f t="shared" si="11"/>
        <v>6.49</v>
      </c>
      <c r="Z279" s="9">
        <f t="shared" si="11"/>
        <v>20</v>
      </c>
      <c r="AA279" s="9">
        <f t="shared" si="11"/>
        <v>0.84</v>
      </c>
      <c r="AB279" s="9">
        <f t="shared" si="11"/>
        <v>0</v>
      </c>
      <c r="AC279" s="9">
        <f t="shared" si="11"/>
        <v>0</v>
      </c>
      <c r="AD279" s="9">
        <f t="shared" si="11"/>
        <v>22</v>
      </c>
      <c r="AE279" s="9">
        <f t="shared" si="11"/>
        <v>0.6</v>
      </c>
      <c r="AF279" s="9">
        <f t="shared" si="11"/>
        <v>9</v>
      </c>
      <c r="AG279" s="9">
        <f>SUM(AG253:AG277)</f>
        <v>5.3699999999999992</v>
      </c>
    </row>
    <row r="280" spans="1:33" s="21" customFormat="1" ht="10.5" customHeight="1" x14ac:dyDescent="0.25">
      <c r="A280" s="28"/>
      <c r="B280" s="29"/>
      <c r="C280" s="30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52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</row>
    <row r="281" spans="1:33" s="35" customFormat="1" ht="16.5" customHeight="1" x14ac:dyDescent="0.3">
      <c r="A281" s="31"/>
      <c r="B281" s="32" t="s">
        <v>97</v>
      </c>
      <c r="C281" s="33"/>
      <c r="D281" s="34">
        <f t="shared" ref="D281:AG281" si="12">D279+D251+D223+D195+D169+D141+D113+D86+D59+D29</f>
        <v>4519</v>
      </c>
      <c r="E281" s="34">
        <f t="shared" si="12"/>
        <v>400.9</v>
      </c>
      <c r="F281" s="34">
        <f t="shared" si="12"/>
        <v>110</v>
      </c>
      <c r="G281" s="34">
        <f t="shared" si="12"/>
        <v>60</v>
      </c>
      <c r="H281" s="34">
        <f t="shared" si="12"/>
        <v>539.70000000000005</v>
      </c>
      <c r="I281" s="34">
        <f t="shared" si="12"/>
        <v>238.8</v>
      </c>
      <c r="J281" s="34">
        <f t="shared" si="12"/>
        <v>371.9</v>
      </c>
      <c r="K281" s="34">
        <f t="shared" si="12"/>
        <v>236.6</v>
      </c>
      <c r="L281" s="34">
        <f t="shared" si="12"/>
        <v>382.78999999999996</v>
      </c>
      <c r="M281" s="34">
        <f t="shared" si="12"/>
        <v>1429.35</v>
      </c>
      <c r="N281" s="34">
        <f t="shared" si="12"/>
        <v>2204.2000000000003</v>
      </c>
      <c r="O281" s="34">
        <f t="shared" si="12"/>
        <v>995.58</v>
      </c>
      <c r="P281" s="34">
        <f t="shared" si="12"/>
        <v>115.3</v>
      </c>
      <c r="Q281" s="34">
        <f t="shared" si="12"/>
        <v>1014</v>
      </c>
      <c r="R281" s="34">
        <f t="shared" si="12"/>
        <v>495</v>
      </c>
      <c r="S281" s="34">
        <f t="shared" si="12"/>
        <v>500</v>
      </c>
      <c r="T281" s="34">
        <f t="shared" si="12"/>
        <v>824</v>
      </c>
      <c r="U281" s="34">
        <f t="shared" si="12"/>
        <v>452.3</v>
      </c>
      <c r="V281" s="34">
        <f t="shared" si="12"/>
        <v>115.69999999999999</v>
      </c>
      <c r="W281" s="34">
        <f t="shared" si="12"/>
        <v>281.07</v>
      </c>
      <c r="X281" s="34">
        <f t="shared" si="12"/>
        <v>202.01</v>
      </c>
      <c r="Y281" s="34">
        <f t="shared" si="12"/>
        <v>115.57000000000001</v>
      </c>
      <c r="Z281" s="34">
        <f t="shared" si="12"/>
        <v>199</v>
      </c>
      <c r="AA281" s="34">
        <f t="shared" si="12"/>
        <v>5.88</v>
      </c>
      <c r="AB281" s="34">
        <f t="shared" si="12"/>
        <v>6</v>
      </c>
      <c r="AC281" s="34">
        <f t="shared" si="12"/>
        <v>12</v>
      </c>
      <c r="AD281" s="34">
        <f t="shared" si="12"/>
        <v>297.91999999999996</v>
      </c>
      <c r="AE281" s="34">
        <f t="shared" si="12"/>
        <v>4.82</v>
      </c>
      <c r="AF281" s="34">
        <f t="shared" si="12"/>
        <v>31</v>
      </c>
      <c r="AG281" s="34">
        <f t="shared" si="12"/>
        <v>47.753</v>
      </c>
    </row>
    <row r="282" spans="1:33" s="35" customFormat="1" ht="17.25" customHeight="1" x14ac:dyDescent="0.3">
      <c r="A282" s="34"/>
      <c r="B282" s="36" t="s">
        <v>98</v>
      </c>
      <c r="C282" s="34"/>
      <c r="D282" s="34">
        <f>D283*10</f>
        <v>4500</v>
      </c>
      <c r="E282" s="34">
        <f>E283*10</f>
        <v>400</v>
      </c>
      <c r="F282" s="34">
        <f t="shared" ref="F282:AG282" si="13">F283*10</f>
        <v>110</v>
      </c>
      <c r="G282" s="34">
        <f t="shared" si="13"/>
        <v>60</v>
      </c>
      <c r="H282" s="34">
        <f t="shared" si="13"/>
        <v>550</v>
      </c>
      <c r="I282" s="34">
        <f t="shared" si="13"/>
        <v>240</v>
      </c>
      <c r="J282" s="34">
        <f t="shared" si="13"/>
        <v>370</v>
      </c>
      <c r="K282" s="34">
        <f t="shared" si="13"/>
        <v>250</v>
      </c>
      <c r="L282" s="34">
        <f t="shared" si="13"/>
        <v>400</v>
      </c>
      <c r="M282" s="34">
        <f t="shared" si="13"/>
        <v>1400</v>
      </c>
      <c r="N282" s="34">
        <f t="shared" si="13"/>
        <v>2200</v>
      </c>
      <c r="O282" s="34">
        <f t="shared" si="13"/>
        <v>1000</v>
      </c>
      <c r="P282" s="34">
        <f t="shared" si="13"/>
        <v>110</v>
      </c>
      <c r="Q282" s="34">
        <f t="shared" si="13"/>
        <v>1000</v>
      </c>
      <c r="R282" s="34">
        <f t="shared" si="13"/>
        <v>500</v>
      </c>
      <c r="S282" s="34">
        <f t="shared" si="13"/>
        <v>500</v>
      </c>
      <c r="T282" s="34">
        <f t="shared" si="13"/>
        <v>800</v>
      </c>
      <c r="U282" s="34">
        <f t="shared" si="13"/>
        <v>430</v>
      </c>
      <c r="V282" s="34">
        <f t="shared" si="13"/>
        <v>120</v>
      </c>
      <c r="W282" s="34">
        <f t="shared" si="13"/>
        <v>290</v>
      </c>
      <c r="X282" s="34">
        <f t="shared" si="13"/>
        <v>210</v>
      </c>
      <c r="Y282" s="34">
        <f t="shared" si="13"/>
        <v>110</v>
      </c>
      <c r="Z282" s="34">
        <f t="shared" si="13"/>
        <v>200</v>
      </c>
      <c r="AA282" s="34">
        <f t="shared" si="13"/>
        <v>6</v>
      </c>
      <c r="AB282" s="34">
        <f t="shared" si="13"/>
        <v>6</v>
      </c>
      <c r="AC282" s="34">
        <f t="shared" si="13"/>
        <v>12</v>
      </c>
      <c r="AD282" s="34">
        <f t="shared" si="13"/>
        <v>300</v>
      </c>
      <c r="AE282" s="34">
        <f t="shared" si="13"/>
        <v>5</v>
      </c>
      <c r="AF282" s="34">
        <f t="shared" si="13"/>
        <v>30</v>
      </c>
      <c r="AG282" s="34">
        <f t="shared" si="13"/>
        <v>50</v>
      </c>
    </row>
    <row r="283" spans="1:33" ht="16.5" customHeight="1" x14ac:dyDescent="0.25">
      <c r="A283" s="222" t="s">
        <v>101</v>
      </c>
      <c r="B283" s="223"/>
      <c r="D283" s="5">
        <v>450</v>
      </c>
      <c r="E283" s="5">
        <v>40</v>
      </c>
      <c r="F283" s="5">
        <v>11</v>
      </c>
      <c r="G283" s="5">
        <v>6</v>
      </c>
      <c r="H283" s="5">
        <v>55</v>
      </c>
      <c r="I283" s="5">
        <v>24</v>
      </c>
      <c r="J283" s="5">
        <v>37</v>
      </c>
      <c r="K283" s="5">
        <v>25</v>
      </c>
      <c r="L283" s="5">
        <v>40</v>
      </c>
      <c r="M283" s="5">
        <v>140</v>
      </c>
      <c r="N283" s="5">
        <v>220</v>
      </c>
      <c r="O283" s="5">
        <v>100</v>
      </c>
      <c r="P283" s="5">
        <v>11</v>
      </c>
      <c r="Q283" s="5">
        <v>100</v>
      </c>
      <c r="R283" s="5">
        <v>50</v>
      </c>
      <c r="S283" s="5">
        <v>50</v>
      </c>
      <c r="T283" s="5">
        <v>80</v>
      </c>
      <c r="U283" s="5">
        <v>43</v>
      </c>
      <c r="V283" s="5">
        <v>12</v>
      </c>
      <c r="W283" s="46">
        <v>29</v>
      </c>
      <c r="X283" s="5">
        <v>21</v>
      </c>
      <c r="Y283" s="5">
        <v>11</v>
      </c>
      <c r="Z283" s="5">
        <v>20</v>
      </c>
      <c r="AA283" s="5">
        <v>0.6</v>
      </c>
      <c r="AB283" s="5">
        <v>0.6</v>
      </c>
      <c r="AC283" s="5">
        <v>1.2</v>
      </c>
      <c r="AD283" s="5">
        <v>30</v>
      </c>
      <c r="AE283" s="5">
        <v>0.5</v>
      </c>
      <c r="AF283" s="5">
        <v>3</v>
      </c>
      <c r="AG283" s="5">
        <v>5</v>
      </c>
    </row>
    <row r="284" spans="1:33" s="39" customFormat="1" ht="18" customHeight="1" x14ac:dyDescent="0.3">
      <c r="A284" s="37"/>
      <c r="B284" s="37" t="s">
        <v>144</v>
      </c>
      <c r="C284" s="37"/>
      <c r="D284" s="38">
        <f>-(100-(D281*100/D282))</f>
        <v>0.42222222222221717</v>
      </c>
      <c r="E284" s="38">
        <f t="shared" ref="E284:AG284" si="14">-(100-(E281*100/E282))</f>
        <v>0.22499999999999432</v>
      </c>
      <c r="F284" s="38">
        <f t="shared" si="14"/>
        <v>0</v>
      </c>
      <c r="G284" s="38">
        <f t="shared" si="14"/>
        <v>0</v>
      </c>
      <c r="H284" s="38">
        <f t="shared" si="14"/>
        <v>-1.8727272727272606</v>
      </c>
      <c r="I284" s="38">
        <f t="shared" si="14"/>
        <v>-0.5</v>
      </c>
      <c r="J284" s="38">
        <f t="shared" si="14"/>
        <v>0.51351351351351582</v>
      </c>
      <c r="K284" s="38">
        <f t="shared" si="14"/>
        <v>-5.3599999999999994</v>
      </c>
      <c r="L284" s="38">
        <f t="shared" si="14"/>
        <v>-4.3024999999999949</v>
      </c>
      <c r="M284" s="38">
        <f t="shared" si="14"/>
        <v>2.0964285714285751</v>
      </c>
      <c r="N284" s="38">
        <f t="shared" si="14"/>
        <v>0.19090909090910202</v>
      </c>
      <c r="O284" s="38">
        <f t="shared" si="14"/>
        <v>-0.44199999999999307</v>
      </c>
      <c r="P284" s="38">
        <f t="shared" si="14"/>
        <v>4.818181818181813</v>
      </c>
      <c r="Q284" s="38">
        <f t="shared" si="14"/>
        <v>1.4000000000000057</v>
      </c>
      <c r="R284" s="38">
        <f t="shared" si="14"/>
        <v>-1</v>
      </c>
      <c r="S284" s="38">
        <f t="shared" si="14"/>
        <v>0</v>
      </c>
      <c r="T284" s="38">
        <f t="shared" si="14"/>
        <v>3</v>
      </c>
      <c r="U284" s="38">
        <f t="shared" si="14"/>
        <v>5.1860465116279073</v>
      </c>
      <c r="V284" s="38">
        <f t="shared" si="14"/>
        <v>-3.5833333333333428</v>
      </c>
      <c r="W284" s="38">
        <f t="shared" si="14"/>
        <v>-3.07931034482759</v>
      </c>
      <c r="X284" s="38">
        <f t="shared" si="14"/>
        <v>-3.8047619047619037</v>
      </c>
      <c r="Y284" s="38">
        <f t="shared" si="14"/>
        <v>5.0636363636363626</v>
      </c>
      <c r="Z284" s="38">
        <f t="shared" si="14"/>
        <v>-0.5</v>
      </c>
      <c r="AA284" s="38">
        <f t="shared" si="14"/>
        <v>-2</v>
      </c>
      <c r="AB284" s="38">
        <f t="shared" si="14"/>
        <v>0</v>
      </c>
      <c r="AC284" s="38">
        <f t="shared" si="14"/>
        <v>0</v>
      </c>
      <c r="AD284" s="38">
        <f t="shared" si="14"/>
        <v>-0.69333333333334224</v>
      </c>
      <c r="AE284" s="38">
        <f t="shared" si="14"/>
        <v>-3.5999999999999943</v>
      </c>
      <c r="AF284" s="38">
        <f t="shared" si="14"/>
        <v>3.3333333333333286</v>
      </c>
      <c r="AG284" s="38">
        <f t="shared" si="14"/>
        <v>-4.4939999999999998</v>
      </c>
    </row>
  </sheetData>
  <mergeCells count="11">
    <mergeCell ref="A143:B143"/>
    <mergeCell ref="A283:B283"/>
    <mergeCell ref="A2:B2"/>
    <mergeCell ref="A31:B31"/>
    <mergeCell ref="A61:B61"/>
    <mergeCell ref="A87:B87"/>
    <mergeCell ref="A115:B115"/>
    <mergeCell ref="A171:B171"/>
    <mergeCell ref="A197:B197"/>
    <mergeCell ref="A225:B225"/>
    <mergeCell ref="A252:B252"/>
  </mergeCells>
  <pageMargins left="0.7" right="0.7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Энерг.Ц.</vt:lpstr>
      <vt:lpstr>Меню зима-</vt:lpstr>
      <vt:lpstr>Сырьё зима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2022-03-16T07:52:08Z</dcterms:modified>
</cp:coreProperties>
</file>